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V:\_BILANCIO\_FONDI REGIONALI E FONDI MINISTERIALI\PIANO POVERTA'\__PIANO POVERTA' 2021-2023\PAL\2024 QSFP 2022\PAL AGGREGATO DA INVIARE\"/>
    </mc:Choice>
  </mc:AlternateContent>
  <xr:revisionPtr revIDLastSave="0" documentId="13_ncr:1_{6E41E1EE-3C43-4DFB-BB0E-8A8325522FA0}" xr6:coauthVersionLast="47" xr6:coauthVersionMax="47" xr10:uidLastSave="{00000000-0000-0000-0000-000000000000}"/>
  <bookViews>
    <workbookView xWindow="-120" yWindow="-120" windowWidth="29040" windowHeight="15840" tabRatio="823" activeTab="9" xr2:uid="{00000000-000D-0000-FFFF-FFFF00000000}"/>
  </bookViews>
  <sheets>
    <sheet name="Sommario" sheetId="26" r:id="rId1"/>
    <sheet name="Tabella Analisi" sheetId="2" r:id="rId2"/>
    <sheet name="Tab 1" sheetId="22" r:id="rId3"/>
    <sheet name="Tab 2" sheetId="17" r:id="rId4"/>
    <sheet name="Tab 2.A - EEMM " sheetId="31" r:id="rId5"/>
    <sheet name="Tab 2.B-PIS" sheetId="30" r:id="rId6"/>
    <sheet name="Tab 3" sheetId="16" r:id="rId7"/>
    <sheet name="Tab 4" sheetId="15" r:id="rId8"/>
    <sheet name="Tab 5" sheetId="14" r:id="rId9"/>
    <sheet name="Tab 6_Riepilogo" sheetId="7" r:id="rId10"/>
    <sheet name="Note per la compilazione " sheetId="35" r:id="rId11"/>
    <sheet name="Lista tendine " sheetId="34" state="hidden" r:id="rId12"/>
  </sheets>
  <definedNames>
    <definedName name="_ftn1" localSheetId="1">'Tabella Analisi'!#REF!</definedName>
    <definedName name="_ftn2" localSheetId="3">'Tab 2'!#REF!</definedName>
    <definedName name="_ftn2" localSheetId="5">'Tab 2.B-PIS'!#REF!</definedName>
    <definedName name="_ftn2" localSheetId="6">'Tab 3'!#REF!</definedName>
    <definedName name="_ftn2" localSheetId="7">'Tab 4'!#REF!</definedName>
    <definedName name="_ftn2" localSheetId="8">'Tab 5'!#REF!</definedName>
    <definedName name="_ftnref1" localSheetId="1">'Tabella Analisi'!#REF!</definedName>
    <definedName name="_ftnref2" localSheetId="3">'Tab 2'!#REF!</definedName>
    <definedName name="_ftnref2" localSheetId="5">'Tab 2.B-PIS'!#REF!</definedName>
    <definedName name="_ftnref2" localSheetId="6">'Tab 3'!#REF!</definedName>
    <definedName name="_ftnref2" localSheetId="7">'Tab 4'!#REF!</definedName>
    <definedName name="_ftnref2" localSheetId="8">'Tab 5'!#REF!</definedName>
    <definedName name="ins" localSheetId="2">#REF!</definedName>
    <definedName name="ins">#REF!</definedName>
    <definedName name="inserisci" localSheetId="2">#REF!</definedName>
    <definedName name="inserisci">#REF!</definedName>
    <definedName name="Si_No" localSheetId="2">#REF!</definedName>
    <definedName name="Si_No">#REF!</definedName>
    <definedName name="Ultimo_aggiornamento" localSheetId="2">data</definedName>
    <definedName name="Ultimo_aggiornamento" localSheetId="3">data</definedName>
    <definedName name="Ultimo_aggiornamento" localSheetId="5">data</definedName>
    <definedName name="Ultimo_aggiornamento" localSheetId="6">data</definedName>
    <definedName name="Ultimo_aggiornamento" localSheetId="7">data</definedName>
    <definedName name="Ultimo_aggiornamento" localSheetId="8">data</definedName>
    <definedName name="Ultimo_aggiornamento">data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7" l="1"/>
  <c r="B10" i="2"/>
  <c r="B9" i="2"/>
  <c r="B8" i="2"/>
  <c r="B7" i="2"/>
  <c r="B11" i="2"/>
  <c r="B6" i="2"/>
  <c r="B5" i="2"/>
  <c r="B4" i="2"/>
  <c r="B3" i="2"/>
  <c r="H7" i="22"/>
  <c r="G16" i="7"/>
  <c r="E16" i="7"/>
  <c r="C16" i="7"/>
  <c r="B16" i="7"/>
  <c r="D19" i="31"/>
  <c r="C16" i="31"/>
  <c r="B13" i="31"/>
  <c r="B12" i="31"/>
  <c r="D6" i="17"/>
  <c r="C16" i="22" l="1"/>
  <c r="K9" i="22"/>
  <c r="J9" i="22"/>
  <c r="I9" i="22"/>
  <c r="K8" i="22" l="1"/>
  <c r="K7" i="22"/>
  <c r="J8" i="22"/>
  <c r="J7" i="22"/>
  <c r="I8" i="22"/>
  <c r="I7" i="22"/>
  <c r="B9" i="22"/>
  <c r="B8" i="22"/>
  <c r="B7" i="22"/>
  <c r="G20" i="7" l="1"/>
  <c r="E20" i="7"/>
  <c r="F16" i="7"/>
  <c r="H16" i="7"/>
  <c r="C19" i="7"/>
  <c r="C18" i="7"/>
  <c r="C17" i="7"/>
  <c r="B10" i="7"/>
  <c r="C10" i="7"/>
  <c r="B9" i="16"/>
  <c r="C33" i="16"/>
  <c r="C24" i="16"/>
  <c r="E12" i="16"/>
  <c r="E9" i="16"/>
  <c r="E8" i="16"/>
  <c r="B8" i="16"/>
  <c r="H9" i="22" l="1"/>
  <c r="B51" i="14" l="1"/>
  <c r="H17" i="7"/>
  <c r="H18" i="7"/>
  <c r="H19" i="7"/>
  <c r="F17" i="7"/>
  <c r="F18" i="7"/>
  <c r="F19" i="7"/>
  <c r="D17" i="7"/>
  <c r="D18" i="7"/>
  <c r="D19" i="7"/>
  <c r="D16" i="7"/>
  <c r="B26" i="14"/>
  <c r="G9" i="22"/>
  <c r="L9" i="22" s="1"/>
  <c r="G8" i="22"/>
  <c r="L8" i="22" s="1"/>
  <c r="G7" i="22"/>
  <c r="L7" i="22" s="1"/>
  <c r="C7" i="15" l="1"/>
  <c r="B12" i="16"/>
  <c r="B11" i="30"/>
  <c r="C8" i="30" s="1"/>
  <c r="D11" i="17"/>
  <c r="C21" i="22"/>
  <c r="E6" i="17" l="1"/>
  <c r="C7" i="30"/>
  <c r="C6" i="30"/>
  <c r="E9" i="17"/>
  <c r="E5" i="17"/>
  <c r="E10" i="17"/>
  <c r="E7" i="17"/>
  <c r="E8" i="17"/>
  <c r="C10" i="30"/>
  <c r="C9" i="30"/>
  <c r="C20" i="7"/>
  <c r="B20" i="7"/>
  <c r="C38" i="14"/>
  <c r="B38" i="14"/>
  <c r="C12" i="14"/>
  <c r="B12" i="14"/>
  <c r="F20" i="7" l="1"/>
  <c r="H20" i="7"/>
  <c r="D20" i="7"/>
  <c r="E11" i="17"/>
  <c r="B53" i="14"/>
  <c r="C5" i="30"/>
  <c r="C11" i="30" s="1"/>
  <c r="E17" i="16"/>
  <c r="B9" i="7" l="1"/>
  <c r="C3" i="7" s="1"/>
  <c r="C5" i="7" l="1"/>
  <c r="C8" i="7"/>
  <c r="C7" i="7"/>
  <c r="C4" i="7"/>
  <c r="C6" i="7"/>
  <c r="C9" i="7"/>
  <c r="B11" i="7"/>
  <c r="C11" i="7" s="1"/>
</calcChain>
</file>

<file path=xl/sharedStrings.xml><?xml version="1.0" encoding="utf-8"?>
<sst xmlns="http://schemas.openxmlformats.org/spreadsheetml/2006/main" count="383" uniqueCount="322">
  <si>
    <t>Ambito territoriale:</t>
  </si>
  <si>
    <t>SOMMARIO</t>
  </si>
  <si>
    <t>Analisi di contesto a supporto dell’elaborazione degli interventi Tab 2</t>
  </si>
  <si>
    <t>Tab Analisi – Indicatori domanda sociale e PUC (Progetti utili alla collettività)</t>
  </si>
  <si>
    <t>Programmazione della Quota Servizi Fondo Povertà (QSFP) 2022</t>
  </si>
  <si>
    <t>Tab 1 – Azione 1: Rafforzamento del Servizio sociale professionale dell’Ambito Sociale Territoriale/del Distretto Sociosanitario.</t>
  </si>
  <si>
    <t xml:space="preserve">Tab 2 –  Azione 2: Interventi e servizi di inclusione </t>
  </si>
  <si>
    <t>Tab 3 –  Azione 3: Programmazione Servizi di segretariato sociale</t>
  </si>
  <si>
    <t xml:space="preserve">Tab 4 – Azione 4: Sistemi informativi </t>
  </si>
  <si>
    <t>Tab 5 – Azione 5: PUC e attività di volontariato presso ETS</t>
  </si>
  <si>
    <t>Tabella Analisi – Indicatori Domanda Sociale e PUC (Progetti utili alla collettività)</t>
  </si>
  <si>
    <t>Indicatori</t>
  </si>
  <si>
    <t>Nuclei familiari caricati su GePI per l'attivazione e la gestione del PaIS (valori assoluti)</t>
  </si>
  <si>
    <t>Prese in carico avviate (primo incontro con assistente sociale) (valori assoluti)</t>
  </si>
  <si>
    <t>Analisi preliminari completate (valori assoluti)</t>
  </si>
  <si>
    <t>Patti firmati (valori assoluti)</t>
  </si>
  <si>
    <t>Nuclei familiari la cui presa in carico è stata avviata sul totale dei nuclei familiari caricati su GePI per l'attivazione e la gestione del PaIS (valori %)</t>
  </si>
  <si>
    <t>Analisi preliminari completate sul totale dei nuclei familiari caricati su GePI per l'attivazione e la gestione del PaIS (valori %)</t>
  </si>
  <si>
    <t>Patti firmati sul totale dei nuclei familiari caricati su GePI per l'attivazione e la gestione del PaIS (valori %)</t>
  </si>
  <si>
    <t>Patti firmati (al netto dei nuclei con facoltà di adesione non partecipanti) (valori %)</t>
  </si>
  <si>
    <t>Numero PUC in corso (valori assoluti)</t>
  </si>
  <si>
    <t>Comuni con PUC in corso (valori %)</t>
  </si>
  <si>
    <t>Media PUC in corso per Comune</t>
  </si>
  <si>
    <t>Totale individui impiegati nei PUC in corso (valori assoluti)</t>
  </si>
  <si>
    <t>Posti creati nei PUC in corso (valori assoluti)</t>
  </si>
  <si>
    <t>Posti assegnati nei PUC in corso (valori assoluti)</t>
  </si>
  <si>
    <t>Posti occupati (valori %)</t>
  </si>
  <si>
    <t xml:space="preserve">Azione 1: Rafforzamento del Servizio sociale professionale </t>
  </si>
  <si>
    <t>Tabella 1.1 - Dotazione e rapporto su abitanti a livello di Ambito territoriale a fine anno</t>
  </si>
  <si>
    <t xml:space="preserve">Data </t>
  </si>
  <si>
    <t>Totale assistenti sociali equivalenti a tempo pieno (FTE) impiegati per tipo di contratto (*)</t>
  </si>
  <si>
    <t>A tempo indeterminato</t>
  </si>
  <si>
    <t>A tempo determinato</t>
  </si>
  <si>
    <t>Collaborazione (P.IVA, occasionale)</t>
  </si>
  <si>
    <t xml:space="preserve">Somministrazione di lavoro interinale </t>
  </si>
  <si>
    <t xml:space="preserve">TOTALE complessivo </t>
  </si>
  <si>
    <t>di cui a valere sul PON Inclusione</t>
  </si>
  <si>
    <t>di cui a valere sulla QSFP</t>
  </si>
  <si>
    <t>di cui a valere sul Contributo assistenti sociali (Legge 178/2020 - Legge di Bilancio per il 2021)</t>
  </si>
  <si>
    <t>di cui a valere sul Fondo Solidarietà Comunale (Legge 178/2020 - Legge di Bilancio per il 2021)</t>
  </si>
  <si>
    <t xml:space="preserve">Al 31.12.2023 </t>
  </si>
  <si>
    <t>Al 31.12.2024 (previsione)</t>
  </si>
  <si>
    <t>Al 31.12.2025 (previsione)</t>
  </si>
  <si>
    <t>(*) FTE: Full Time Equivalent, ovvero valore rapportato ad un occupato a tempo pieno di 36 ore settimanali (due persone con part time a 18 ore equivalgono ad un FTE)</t>
  </si>
  <si>
    <t>Tabella 1.2 – Dettaglio costi per il Potenziamento Servizio sociale professionale a valere sulla QSFP 2022</t>
  </si>
  <si>
    <t>Voci di costo</t>
  </si>
  <si>
    <t>Importo QSFP</t>
  </si>
  <si>
    <t xml:space="preserve">Assistenti sociali </t>
  </si>
  <si>
    <t xml:space="preserve">Formazione </t>
  </si>
  <si>
    <t xml:space="preserve">Costi di trasporto </t>
  </si>
  <si>
    <t>Beni strumentali (PC, tablet, notebook)</t>
  </si>
  <si>
    <t>Altro (es. affitto di locali…)</t>
  </si>
  <si>
    <t>TOTALE</t>
  </si>
  <si>
    <t xml:space="preserve">Azione 2: Interventi e servizi di inclusione </t>
  </si>
  <si>
    <t>Tabella 2.1 - Interventi e servizi di inclusione da sostenere con la QSFP 2022</t>
  </si>
  <si>
    <t>TIPO DI INTERVENTO</t>
  </si>
  <si>
    <t>Numero di destinatari previsti (*)</t>
  </si>
  <si>
    <t>Importo QSFP 2022</t>
  </si>
  <si>
    <t>Tirocini di inclusione sociale</t>
  </si>
  <si>
    <t>Assistenza domiciliare socioassistenziale e servizi di prossimità</t>
  </si>
  <si>
    <t>Sostegno alla genitorialità e servizio di mediazione familiare</t>
  </si>
  <si>
    <t>Servizio di mediazione culturale</t>
  </si>
  <si>
    <t xml:space="preserve">Equipe Multidisciplinare </t>
  </si>
  <si>
    <t>(*) Nota: nuclei familiari ex beneficiari del Reddito di cittadinanza che stanno ancora ricevendo interventi e servizi previsti dal PaIS sottoscritto antecedentemente al 31 dicembre 2023; nuclei familiari e gli individui beneficiari dell’Assegno di Inclusione (ADI); nuclei familiari e gli individui che si trovino in simili condizioni economiche, in possesso di attestazione ISEE non superiore a 9.360 euro per i quali sussista una “presa in carico sociale” come definita con decreto del Ministero del Lavoro e delle politiche sociali, n. 160 del 29 dicembre 2023</t>
  </si>
  <si>
    <t xml:space="preserve">Azione 3: Segretariato sociale </t>
  </si>
  <si>
    <t>Tabella 3.1 – Servizi di segretariato sociale per la promozione e diffusione delle misure di contrasto alla povertà da sostenere con la QSFP 2022</t>
  </si>
  <si>
    <t>Voci di costo risorse umane</t>
  </si>
  <si>
    <t>Durata contratto (mesi)</t>
  </si>
  <si>
    <t>Altra figura:</t>
  </si>
  <si>
    <t>SUB TOTALE</t>
  </si>
  <si>
    <t>Voci di costo per la gestione</t>
  </si>
  <si>
    <t>Altro (es. affitto locali)</t>
  </si>
  <si>
    <t xml:space="preserve">Azione 4: Sistemi informativi </t>
  </si>
  <si>
    <t>Tabella 4.1 - Sistemi informativi adeguati tramite la QSFP 2022</t>
  </si>
  <si>
    <t>Denominazione sistema informativo (*)</t>
  </si>
  <si>
    <t>Dati raccolti dal sistema</t>
  </si>
  <si>
    <t xml:space="preserve">Azione 5: Progetti Utili alla Collettività PUC </t>
  </si>
  <si>
    <t>Tabella 5.1 – Ambito tematico, numero di progetti e posti dei PUC a titolarità dei Comuni o di altra Pubblica amministrazione</t>
  </si>
  <si>
    <t>Ambito tematico PUC</t>
  </si>
  <si>
    <t>Inserire n° progetti per ambito</t>
  </si>
  <si>
    <t>N° di posti (complessivo) che si prevede di attivare</t>
  </si>
  <si>
    <t>Sociale</t>
  </si>
  <si>
    <t>Culturale</t>
  </si>
  <si>
    <t>Artistico</t>
  </si>
  <si>
    <t>Ambiente</t>
  </si>
  <si>
    <t>Formativo</t>
  </si>
  <si>
    <t>Tutela dei beni comuni</t>
  </si>
  <si>
    <t>Nota: le spese ammissibili  sulla QSFP 2022 sono relative alla partecipazione ai PUC dei beneficiari RDC sino al 31 dicembre 2023, dei beneficiari EX RdC/ADI/Individui in simili condizioni di disagio economico 1° gennaio 2024 e dei beneficiari SFL (Linee guida QSFP 2022-2023)</t>
  </si>
  <si>
    <t>Tabella 5.2 – PUC da sostenere con la QSFP 2022 a titolarità dei Comuni o altra Pubblica amministrazione</t>
  </si>
  <si>
    <t xml:space="preserve">          Voci di costo </t>
  </si>
  <si>
    <t xml:space="preserve">      Importo (€)</t>
  </si>
  <si>
    <t xml:space="preserve">RC Terzi </t>
  </si>
  <si>
    <t xml:space="preserve">Beni strumentali </t>
  </si>
  <si>
    <t xml:space="preserve">Rimborso spese pasto e trasporto </t>
  </si>
  <si>
    <t xml:space="preserve">Tutoraggio </t>
  </si>
  <si>
    <t xml:space="preserve">Coordinamento e supervisione </t>
  </si>
  <si>
    <t xml:space="preserve">Oneri Terzo Settore </t>
  </si>
  <si>
    <t>Altro</t>
  </si>
  <si>
    <t>Totale</t>
  </si>
  <si>
    <t xml:space="preserve">Tabella 5.3 – Ambito tematico, numero di progetti e posti per le Attività di volontariato presso ETS </t>
  </si>
  <si>
    <t>Ambito tematico</t>
  </si>
  <si>
    <t>Tabella 5.4 – Attività di volontariato presso ETS da sostenere con la QSFP 2022</t>
  </si>
  <si>
    <t xml:space="preserve">Visite mediche* </t>
  </si>
  <si>
    <t xml:space="preserve">Oneri aggiuntivi  Terzo Settore </t>
  </si>
  <si>
    <t>IMPORTO TOTALE (tab. 5.2 + tab. 5.4)</t>
  </si>
  <si>
    <t>Ammontare QSFP 2022</t>
  </si>
  <si>
    <t>AZIONI</t>
  </si>
  <si>
    <t>%</t>
  </si>
  <si>
    <r>
      <t>1.</t>
    </r>
    <r>
      <rPr>
        <sz val="12"/>
        <color indexed="8"/>
        <rFont val="Times New Roman"/>
        <family val="1"/>
      </rPr>
      <t xml:space="preserve">       </t>
    </r>
    <r>
      <rPr>
        <sz val="12"/>
        <color indexed="8"/>
        <rFont val="Calibri"/>
        <family val="2"/>
      </rPr>
      <t>Potenziamento del Servizio Sociale Professionale</t>
    </r>
  </si>
  <si>
    <t>compilazione automatica</t>
  </si>
  <si>
    <r>
      <t>2.</t>
    </r>
    <r>
      <rPr>
        <sz val="12"/>
        <color indexed="8"/>
        <rFont val="Times New Roman"/>
        <family val="1"/>
      </rPr>
      <t xml:space="preserve">       </t>
    </r>
    <r>
      <rPr>
        <sz val="12"/>
        <color indexed="8"/>
        <rFont val="Calibri"/>
        <family val="2"/>
      </rPr>
      <t>Rafforzamento dei servizi per l’inclusione</t>
    </r>
  </si>
  <si>
    <r>
      <t>3.</t>
    </r>
    <r>
      <rPr>
        <sz val="12"/>
        <color indexed="8"/>
        <rFont val="Times New Roman"/>
        <family val="1"/>
      </rPr>
      <t xml:space="preserve">       </t>
    </r>
    <r>
      <rPr>
        <sz val="12"/>
        <color indexed="8"/>
        <rFont val="Calibri"/>
        <family val="2"/>
      </rPr>
      <t>Servizi di segretariato sociale</t>
    </r>
  </si>
  <si>
    <r>
      <t>4.</t>
    </r>
    <r>
      <rPr>
        <sz val="12"/>
        <color indexed="8"/>
        <rFont val="Times New Roman"/>
        <family val="1"/>
      </rPr>
      <t xml:space="preserve">       </t>
    </r>
    <r>
      <rPr>
        <sz val="12"/>
        <color indexed="8"/>
        <rFont val="Calibri"/>
        <family val="2"/>
      </rPr>
      <t>Sistemi informativi</t>
    </r>
  </si>
  <si>
    <r>
      <t>5.</t>
    </r>
    <r>
      <rPr>
        <sz val="12"/>
        <color indexed="8"/>
        <rFont val="Times New Roman"/>
        <family val="1"/>
      </rPr>
      <t xml:space="preserve">       </t>
    </r>
    <r>
      <rPr>
        <sz val="12"/>
        <color indexed="8"/>
        <rFont val="Calibri"/>
        <family val="2"/>
      </rPr>
      <t>PUC – Progetti Utili alla Collettività</t>
    </r>
  </si>
  <si>
    <t>Totale Programmato</t>
  </si>
  <si>
    <t>Totale stanziato</t>
  </si>
  <si>
    <t>Totale non programmato</t>
  </si>
  <si>
    <t>Trasferito</t>
  </si>
  <si>
    <t>Impegnato</t>
  </si>
  <si>
    <t>Impegnato in %</t>
  </si>
  <si>
    <t>Rendicontato in %</t>
  </si>
  <si>
    <t>QSFP 2018</t>
  </si>
  <si>
    <t>QSFP 2019</t>
  </si>
  <si>
    <t>QSFP 2020</t>
  </si>
  <si>
    <t>QSFP 2021</t>
  </si>
  <si>
    <t>Nuclei con obbligo monitoraggio presso il Servizio sociale professionale</t>
  </si>
  <si>
    <t>Posti ancora da assegnare nei PUC in corso (valori assoluti)</t>
  </si>
  <si>
    <t xml:space="preserve">Nota: non sono ammessi contributi in denaro </t>
  </si>
  <si>
    <t>2.A       PIS (Rafforzamento dei servizi per l’inclusione)</t>
  </si>
  <si>
    <t>Rendicontato</t>
  </si>
  <si>
    <t>(*) Nota: le risorse del Fondo Povertà possono essere impiegate, fino ad un massimo del 2% del totale delle risorse assegnate, per un eventuale adeguamento dei sistemi informativi dei Comuni, singoli o associati, ai fini della interoperabilità con la piattaforma per il coordinamento dei Comuni GePI, di cui al Decreto del Ministero del Lavoro e delle Politiche Sociali del 2 settembre 2019 e al Decreto Interministeriale dell’8 agosto 2023 istitutivo del sistema informativo per l’inclusione sociale e lavorativa. Si precisa che sono finanziabili i costi per l’adeguamento dei sistemi informativi dei Comuni funzionali all’attuazione dei livelli essenziali delle prestazioni sociali, di cui all’articolo 6, comma 8 del D.L. 48/2023.</t>
  </si>
  <si>
    <t>Visite mediche (*)</t>
  </si>
  <si>
    <t>Rapporto AS/abitanti</t>
  </si>
  <si>
    <t>Liquidato</t>
  </si>
  <si>
    <t>Liquidato in %</t>
  </si>
  <si>
    <t>Assistente sociale (*)</t>
  </si>
  <si>
    <t>Assistente sociale</t>
  </si>
  <si>
    <t>Descrizione dell’azione di adeguamento sistemi informativi: [Compilare se si ritiene utile fornire elementi ulteriori sull’azione programmata]</t>
  </si>
  <si>
    <t>Esternalizzazione servizio</t>
  </si>
  <si>
    <r>
      <t xml:space="preserve">Alla data del </t>
    </r>
    <r>
      <rPr>
        <b/>
        <sz val="11"/>
        <rFont val="Calibri"/>
        <family val="2"/>
      </rPr>
      <t>31.12.2023</t>
    </r>
  </si>
  <si>
    <t>Altra figura professionale (es. educatore, psicologo, mediatore, ecc.) (*)</t>
  </si>
  <si>
    <t>(**) Nota: modalità di erogazione diretta, esternalizzata - procedure previste dal Codice degli appalti, procedure previste dal Codice del terzo settore</t>
  </si>
  <si>
    <t>PIS (2.A): Gli ATS dovranno destinare a questo LEPS una quota non inferiore al 3,68% delle risorse relativa alla QSFP 2022</t>
  </si>
  <si>
    <t xml:space="preserve">Costi personale impiegato alle dirette dipendenze del beneficiario della Quota del fondo </t>
  </si>
  <si>
    <t>Costi personale esperti esterni/incarichi professionali</t>
  </si>
  <si>
    <t>Affidamenti di servizi (ex D.lgs 36/2023 - Codice dei contratti)</t>
  </si>
  <si>
    <t>Rapporti collaborativi ai sensi del D. Lgs 117/ 2017 - Codice del terzo settore</t>
  </si>
  <si>
    <t>N. unità figure professionali</t>
  </si>
  <si>
    <t>(*) Compilare una riga per ogni figura professionale, per tipologia e durata del contratto</t>
  </si>
  <si>
    <t xml:space="preserve">Modalità di erogazione (**) </t>
  </si>
  <si>
    <t>Costo risorse umane</t>
  </si>
  <si>
    <t>Costo per la gestione</t>
  </si>
  <si>
    <t>Ammontare stanziato:</t>
  </si>
  <si>
    <t>Acquisto di beni, servizi, prestazioni (es. acquisizione di attrezzature, programmi informatici, materiali, arredi, formazione, comunicazione o informazione) noleggio o leasing, affitto, ecc. (**)</t>
  </si>
  <si>
    <t>(**) Tra i beni è possibile considerare anche i Beni ammortizzabili (iscritti nel libro dei cespiti ammortizzabili)</t>
  </si>
  <si>
    <r>
      <t xml:space="preserve">Nota: gli ATS dovranno destinare a questo LEPS una quota non inferiore al </t>
    </r>
    <r>
      <rPr>
        <b/>
        <sz val="11"/>
        <color theme="1"/>
        <rFont val="Calibri"/>
        <family val="2"/>
        <scheme val="minor"/>
      </rPr>
      <t xml:space="preserve">3,68% </t>
    </r>
    <r>
      <rPr>
        <sz val="11"/>
        <color theme="1"/>
        <rFont val="Calibri"/>
        <family val="2"/>
        <scheme val="minor"/>
      </rPr>
      <t>delle risorse loro assegnate (vedi programmazione regionale)</t>
    </r>
  </si>
  <si>
    <t>Importo</t>
  </si>
  <si>
    <t>Annualità precedenti</t>
  </si>
  <si>
    <t>(*) Nota: Interventi attivati in caso di emergenze sociali per fare fronte a bisogni non differibili, in forma acuta e grave, che la persona deve affrontare e a cui è necessario dare una risposta immediata e tempestiva. Possono rientrare in questa categoria anche gli interventi di sostegno a persone senza dimora e adulti in situazioni di emergenza sociale realizzati attraverso unità mobili di strada che offrono servizi di prima assistenza (distribuzione beni di prima assistenza, pasti caldi, informazioni, accompagnamento a centri di accoglienza, ecc.).</t>
  </si>
  <si>
    <t>(*) Nota: visite mediche ai fini della sicurezza sui luoghi di lavoro, ex D. Lgs. 81/2008 – rimborsabili su QSFP solo quelle obbligatoriamente previste dalla normativa (a titolo esemplificativo: movimentazione manuale dei carichi - art. 168; utilizzo videoterminali – art. 176; rumore – art. 196; vibrazioni – art. 204). Si ricorda che l’attivazione di progetti utili alla collettività ed il conseguente utilizzo da parte dei Comuni dei beneficiari delle nuove misure di inclusione sociale e lavorativa – AdI e SFL devono essere contemplati nel Documento di Valutazione dei Rischi (DVR), in quanto anche i “volontari” rientrano a pieno titolo nell’articolo 21 del D. Lgs. 81/2008 e ss.mm.ii., ai sensi dell’articolo 13 bis del citato D. Lgs. 81/2008; formazione di base sulla sicurezza – obbligatoria solo in alcuni casi, in particolare nel caso di presenza di altri lavoratori dipendenti</t>
  </si>
  <si>
    <t>Soggetti partecipanti</t>
  </si>
  <si>
    <t>Enti di appartenenza</t>
  </si>
  <si>
    <t>Comuni dell’Ambito</t>
  </si>
  <si>
    <t>CpI</t>
  </si>
  <si>
    <t>ASST</t>
  </si>
  <si>
    <t>ETS</t>
  </si>
  <si>
    <t>Altri enti</t>
  </si>
  <si>
    <t>Coordinatori sociali</t>
  </si>
  <si>
    <t>Assistenti sociali case manager</t>
  </si>
  <si>
    <t>Educatori</t>
  </si>
  <si>
    <t>Tutor</t>
  </si>
  <si>
    <t>Altre figure professionali dell’Ambito 
(specificare quali:_________________________________)</t>
  </si>
  <si>
    <t>Operatori del Centro per l’Impiego (es. Orientatori, ecc.)</t>
  </si>
  <si>
    <t>Navigatori</t>
  </si>
  <si>
    <t>Psicologi</t>
  </si>
  <si>
    <t xml:space="preserve">Altri operatori dei Servizi specialistici dell’ASST
(indicare quali: assistenti sociali, medici di medicina generale, psichiatri, etc): </t>
  </si>
  <si>
    <t>Insegnanti</t>
  </si>
  <si>
    <t xml:space="preserve">Operatori del Terzo settore </t>
  </si>
  <si>
    <t>Altri soggetti 
(specificare quali: amministratori di sostegno, beneficiario, etc)</t>
  </si>
  <si>
    <t xml:space="preserve">Presenza accordo formalizzato </t>
  </si>
  <si>
    <t xml:space="preserve">Tipologia </t>
  </si>
  <si>
    <t xml:space="preserve">Servizi Specialistici ASST </t>
  </si>
  <si>
    <t xml:space="preserve">Enti del Terzo settore </t>
  </si>
  <si>
    <t xml:space="preserve">Scuole </t>
  </si>
  <si>
    <t xml:space="preserve">Altri soggetti (specificare) </t>
  </si>
  <si>
    <t>Attuali modalità organizzative dell'Equipe Multidisciplinare (specificare la modalità di funzionamento dell'équipe, la frequenza di incontro, le modalità di condividisione delle informazioni…)</t>
  </si>
  <si>
    <t xml:space="preserve">Strategie di rafforzamento e sviluppo delle EEMM </t>
  </si>
  <si>
    <t xml:space="preserve">Indicare se obiettivo di programmazione </t>
  </si>
  <si>
    <t xml:space="preserve">Note esplicative </t>
  </si>
  <si>
    <t xml:space="preserve">Introduzione figura del facilitatore di rete </t>
  </si>
  <si>
    <t>Ampliamento enti partecipanti alle EEMM</t>
  </si>
  <si>
    <t xml:space="preserve">Stipula protocolli o accordi formali </t>
  </si>
  <si>
    <t xml:space="preserve">Sviluppo strumenti di lavoro delle EEMM </t>
  </si>
  <si>
    <t xml:space="preserve">Altro (specificare) </t>
  </si>
  <si>
    <t xml:space="preserve">N° Equipe Attivate </t>
  </si>
  <si>
    <t>al 31.12.23</t>
  </si>
  <si>
    <t xml:space="preserve">Previste al 31.12.24 </t>
  </si>
  <si>
    <t>N° incontri di formazione per EEMM</t>
  </si>
  <si>
    <t xml:space="preserve">Modalità organizzative attuali </t>
  </si>
  <si>
    <t xml:space="preserve">Target di riferimento per lo sviluppo del servizio </t>
  </si>
  <si>
    <t>SI/NO</t>
  </si>
  <si>
    <t xml:space="preserve">Note: </t>
  </si>
  <si>
    <t>Povertà</t>
  </si>
  <si>
    <t>Disagio adulti, dipendenze</t>
  </si>
  <si>
    <t>Minori</t>
  </si>
  <si>
    <t>Vittime di violenza, di tratta</t>
  </si>
  <si>
    <t xml:space="preserve">Disabilità </t>
  </si>
  <si>
    <t>Quali Fondi si prevede di utilizzare?</t>
  </si>
  <si>
    <t xml:space="preserve">Quota Servizi Fondo Povertà </t>
  </si>
  <si>
    <t xml:space="preserve">Altri fondi </t>
  </si>
  <si>
    <t xml:space="preserve">Specificare: </t>
  </si>
  <si>
    <t xml:space="preserve">Descrivere le modalità si prevedono per la sua implementazione (in caso non sia ancora attiva) o  sviluppo </t>
  </si>
  <si>
    <t xml:space="preserve">Principali criticità incontrate </t>
  </si>
  <si>
    <t xml:space="preserve">Servizi di segretariato sociale </t>
  </si>
  <si>
    <t xml:space="preserve">Situazione attuale </t>
  </si>
  <si>
    <t xml:space="preserve">N° servizi attivi </t>
  </si>
  <si>
    <t>N° sportelli AGGIUNTIVI</t>
  </si>
  <si>
    <t xml:space="preserve">Ore settimanali di apertura al pubblico AGGIUNTE </t>
  </si>
  <si>
    <t>Sostegno socioeducativo domiciliare o territoriale</t>
  </si>
  <si>
    <t xml:space="preserve">Ore settimanali di apertura al pubblico complessive </t>
  </si>
  <si>
    <t xml:space="preserve">Rafforzamento programmato QSFP 2022 </t>
  </si>
  <si>
    <t>NOTA: dato collegato al monitoraggio LEPS previsto nelle Linee di Indirizzo per i PdZ  2025/2027</t>
  </si>
  <si>
    <t>Sì</t>
  </si>
  <si>
    <t xml:space="preserve">No </t>
  </si>
  <si>
    <t xml:space="preserve">In via di definizione </t>
  </si>
  <si>
    <t>Il servizio è attualmente garantito a livello di Ambito?</t>
  </si>
  <si>
    <t>Azione 2.B PIS (Pronto intervento sociale) (*)</t>
  </si>
  <si>
    <t>Tabella 2.B.1 - Attività da sostenere con la QSFP 2022</t>
  </si>
  <si>
    <t xml:space="preserve">Tabella 2B.2 - Sviluppo del servizio </t>
  </si>
  <si>
    <t>Tabella 2B.2</t>
  </si>
  <si>
    <t xml:space="preserve">Tabella 2.A.1  Indicatori di attuazione </t>
  </si>
  <si>
    <t xml:space="preserve">Tabella 2.A.2 Composizione EEMM </t>
  </si>
  <si>
    <t>Tabella 2.A.3 - Accordi formalizzati</t>
  </si>
  <si>
    <t>Tabella 2.A.4 Modalità organizzative dell'équipe</t>
  </si>
  <si>
    <t xml:space="preserve">Tabella 2.A.5 Strategie di rafforzamento e sviluppo delle EEMM  </t>
  </si>
  <si>
    <t xml:space="preserve">Tabella 2.A.3 </t>
  </si>
  <si>
    <t xml:space="preserve">Azione 2.A Equipe Multidisciplinari </t>
  </si>
  <si>
    <t>Tabella 2.A.5</t>
  </si>
  <si>
    <t xml:space="preserve">Specificare altro: </t>
  </si>
  <si>
    <t xml:space="preserve">Tabella 3.2 Distribuzione territoriale servizi di segretariato sociale </t>
  </si>
  <si>
    <t xml:space="preserve">Note per la compilazione </t>
  </si>
  <si>
    <r>
      <t xml:space="preserve">Colonne D e E: indicare solo il n° di servizi e la relativa sommatoria di ore settimanali di apertura </t>
    </r>
    <r>
      <rPr>
        <b/>
        <sz val="11"/>
        <color theme="1"/>
        <rFont val="Calibri"/>
        <family val="2"/>
        <scheme val="minor"/>
      </rPr>
      <t>aggiuntivi</t>
    </r>
    <r>
      <rPr>
        <sz val="11"/>
        <color theme="1"/>
        <rFont val="Calibri"/>
        <family val="2"/>
        <scheme val="minor"/>
      </rPr>
      <t xml:space="preserve"> rispetto all'esistente</t>
    </r>
  </si>
  <si>
    <t xml:space="preserve"> Indicare i valori FTE -  Full Time Equivalent, ovvero rapportati ad un occupato a tempo pieno di 36 ore settimanali (due persone con part time a 18 ore equivalgono ad un FTE)</t>
  </si>
  <si>
    <t xml:space="preserve">Indicare i sistemi informativi e le relative tipologie di adeguamento in programma con la QSFP 2021 ai fini della interoperabilità con la piattaforma GEPI </t>
  </si>
  <si>
    <t>Per l'adeguamento dei sistemi informativi può essere utilizzato fino a un massimo del 2% del totale delle risorse assegnate</t>
  </si>
  <si>
    <t xml:space="preserve">Tabella Analisi </t>
  </si>
  <si>
    <t xml:space="preserve">Tutti i dati richiesti sono disponibili nella dashboard per la programmazione locale delle Misure di contrasto alla povertà. </t>
  </si>
  <si>
    <t>I dati richiesti si riferiscono alla dotazione di assistenti sociali a livello di Ambito territoriale, coerentemente con il LEPS relativo</t>
  </si>
  <si>
    <t xml:space="preserve"> Tabella 1. Rafforzamento del servizio sociale professionale</t>
  </si>
  <si>
    <t>Righe 8 e 9 - Indicare i valori complessivi che si programma di raggiungere al 31.12.2024 e al 31.12.2025</t>
  </si>
  <si>
    <t xml:space="preserve">Tab 2.1 In riferimento alla QSFP 2022 - Obiettivo 2 dettagliare il riparto per tipologia di intervento e la relativa modalità di erogazione </t>
  </si>
  <si>
    <t xml:space="preserve">I dati relativi al riparto della QSFP 2022 devono coincidere con quanto indicato in Piattaforma Multifondo </t>
  </si>
  <si>
    <t xml:space="preserve">Tabella 2. Interventi e servizi di inclusione </t>
  </si>
  <si>
    <t xml:space="preserve">Tabella 2.A Equipe Multidisciplinari </t>
  </si>
  <si>
    <t>Tab. 2.A.2 : per ogni tipologia di soggetti partecipanti indicare il numero nella cella corrispondente per ente di appartenenza</t>
  </si>
  <si>
    <t xml:space="preserve">Tab. 2.A.1 Indicare il numero di équipe atttivate e gli incontri di formazione realizzati dedicati alle équipe nel 2023, e i relativi dati di programmazione per il 2024. </t>
  </si>
  <si>
    <t xml:space="preserve">Tabella 2.A.3 Pronto intervento Sociale </t>
  </si>
  <si>
    <t xml:space="preserve">Verificare che la quota dedicata al PIS non sia inferiore al 3.68% del totale della QSFP </t>
  </si>
  <si>
    <t xml:space="preserve">Tabella 3. Segretariato sociale </t>
  </si>
  <si>
    <t xml:space="preserve">Tabella 3.2 Indicare per ogni Comune dell'Ambito il n° di servizi di segretariato sociale attivi e la somma delle ore settimanali di apertura al pubblico </t>
  </si>
  <si>
    <t>Tabella 4. Adeguamento sistemi informativi</t>
  </si>
  <si>
    <t>Tabella 5. Attivazione e realizzazione PUC</t>
  </si>
  <si>
    <t xml:space="preserve">Tab. 5.1 Colonna B: Indicare il n° di progetti attivati per tutti i Comuni dell'Ambito alla data di compilazione </t>
  </si>
  <si>
    <t>Tab 5.2  Colonna C: Indicare il n° di posti che si prevede di attivare a livelllo di Ambito</t>
  </si>
  <si>
    <t xml:space="preserve">Tab. 5.3 Colonna B: Indicare il n° di progetti attivati a livello di Ambito per attività di volontariato presso ETS </t>
  </si>
  <si>
    <t>Tab 5.3   Colonna C: Indicare il n° di posti che si prevede di attivare a livelllo di Ambito</t>
  </si>
  <si>
    <t>Tab. 6.1 Riepilogativo Programmazione Risorse QSFP 2022</t>
  </si>
  <si>
    <t>Tab. 6.2 Riepilogativo Programmazione Risorse QSFP 2018-2019-2020-2021</t>
  </si>
  <si>
    <t xml:space="preserve">Tabella 6. Riepilogo </t>
  </si>
  <si>
    <t xml:space="preserve">Tab 6.1 Indicare il riparto delle risorse QSFP 2022 tra gli obiettivi </t>
  </si>
  <si>
    <t xml:space="preserve">Tab 2.A.1 In riferimento alla QSFP 2022 - Obiettivo 2 dettagliare il riparto per tipologia di interventonell'ambito del PIS </t>
  </si>
  <si>
    <t xml:space="preserve">Tab 2.A - Équipe Multidisciplinari </t>
  </si>
  <si>
    <t>Tab 2.A - Azione 2.B: Pronto intervento sociale</t>
  </si>
  <si>
    <t>Tab 6 Riepilogo – Riepilogo programmazione risorse</t>
  </si>
  <si>
    <t>Note per la compilazione</t>
  </si>
  <si>
    <t>Ente capofila/gestore:</t>
  </si>
  <si>
    <t>QS ANNUALITÀ 2022</t>
  </si>
  <si>
    <t>ALLEGATO A</t>
  </si>
  <si>
    <t xml:space="preserve">Piano di Attuazione Locale (PAL) Fondo Povertà 2022 - Quota Servizi   
</t>
  </si>
  <si>
    <t>Popolazione Ambito al 01.01.2023</t>
  </si>
  <si>
    <t xml:space="preserve">Tipologia contratto (tempo determinato, indeterminato, collaborazione [P.I., occasionale], somminstrazione, esternalizzazione) </t>
  </si>
  <si>
    <t>Tab.6.2  Indicare per le risorse del fondo annualità 2018/2021, il totale delle risorse  trasferite, impegnate, liquidate e rendicontate al 31.12.2023</t>
  </si>
  <si>
    <t>Oglio Po</t>
  </si>
  <si>
    <t>Azienda Speciale Consortile Oglio Po</t>
  </si>
  <si>
    <t>Altra figura: amministrativo</t>
  </si>
  <si>
    <t>protocollo d'intesa e accordi quadro</t>
  </si>
  <si>
    <t>convenzioni</t>
  </si>
  <si>
    <t>I dispositivi utilizzati per una gestione integrata dei processi sono:
1.	la valutazione multidimensionale effettuata in equipe multidisciplinari, quale strumento di conoscenza e valutazione basata sulle dimensioni della persona (funzionale, relazionale, socio-sanitaria) effettuata dalle diverse professionalità coinvolte sui casi;
2.	Piano personalizzato di intervento quale strumento privilegiato per la di pianificazione e la condivisione tra gli operatori dei diversi servizi da gestire mediante la cartella sociale informatizzata;
3.	Contratto di servizio con l’utente come dispositivo di ingaggio e responsabilizzazione della persona;
4.	individuazione della figura del Case manager  quale responsabile del caso e dell’attuazione del Progetto individualizzato e del raccordo tra i diversi nodi della rete. E’ definito “facilitatore” per la persona, ed è individuato all’avvio del percorso condiviso.  Le equipe hanno la caratteristica di essere a geometria variabile in funzione del caso specifico. La frequenza degli incontri delle equipe è definita, in ogni singolo progetto, a seconda dei tempi di verifica che vengono concordati tra gli operatori coinvolti.</t>
  </si>
  <si>
    <t>Si intende promuovere e implementare il lavoro di comunità effettuato da un facilitatore di rete che già opera su una parte del territorio</t>
  </si>
  <si>
    <t>Con Istituti scolastici, CPI/Provincia</t>
  </si>
  <si>
    <t>Creazione e condivisione di strumenti di valutazione e verifica</t>
  </si>
  <si>
    <t>tempo indeterminato</t>
  </si>
  <si>
    <t>tempo determinato</t>
  </si>
  <si>
    <t xml:space="preserve">Domande ADI accolte al 03/10/2024 [Dashboard]        </t>
  </si>
  <si>
    <t>diretta</t>
  </si>
  <si>
    <t>mista (viadanese diretta - casalasco accreditamento)</t>
  </si>
  <si>
    <t>x</t>
  </si>
  <si>
    <t>TERMINATE LE RISORSE DISPONIBILI RELATIVE AL FINANZIAMENTO MINISTERIALE  PRINS. GARANTIRLO H24 E' TROPPO ONEROSO PER L'AMBITO</t>
  </si>
  <si>
    <t>unione Foedus</t>
  </si>
  <si>
    <t>unione Municipa</t>
  </si>
  <si>
    <t xml:space="preserve">Unione Palvareta nova </t>
  </si>
  <si>
    <t xml:space="preserve">Unione dei comuni di Calvatone  e Trornata </t>
  </si>
  <si>
    <t>Comune di Casalmaggiore</t>
  </si>
  <si>
    <t xml:space="preserve">Comune di Martignana di Po </t>
  </si>
  <si>
    <t>comune di San Giovanni in Croce</t>
  </si>
  <si>
    <t xml:space="preserve">comune di Piadena Drizzona </t>
  </si>
  <si>
    <t xml:space="preserve">comune di Cingia de' Botti </t>
  </si>
  <si>
    <t>unione terrae Fluminis</t>
  </si>
  <si>
    <t xml:space="preserve">NON E' PREVISTO UN SERVIZIO DI REPERIBILITA' H24. IL SSB INTERVIENE IN ORARIO DI SERVIZIO ACCEDENDO ALLE STRUTTURE RICETTIVE DISPONIBILI SUL TERRITORIO PER I COLLOCAMENTI IN URGENZA.  IN CASO DI EMERGENZA ABITATIVA SI FA RIFERIMENTO AD  ACCORDI CON REALTA' LOCALI </t>
  </si>
  <si>
    <t>esternalizzata</t>
  </si>
  <si>
    <t>Comune di Bozzolo</t>
  </si>
  <si>
    <t>Comune di Commessaggio</t>
  </si>
  <si>
    <t>Comune di Dosolo</t>
  </si>
  <si>
    <t>Comune di Gazzuolo</t>
  </si>
  <si>
    <t>Comune di Marcaria</t>
  </si>
  <si>
    <t>Comune di Pomponesco</t>
  </si>
  <si>
    <t>Comune di Rivarolo Mantovano</t>
  </si>
  <si>
    <t>Comune di Sabbioneta</t>
  </si>
  <si>
    <t>Comune di San Martino D/A</t>
  </si>
  <si>
    <t>Comune di Viadana</t>
  </si>
  <si>
    <t xml:space="preserve">* in fase di definizione il Tavolo di coordinamento provinciale nel territorio mantovano Ambiti/Centro per L'Impiego; si segnalano difficoltà nell'interoperabilità tra le rispettive piattaforme e il mancato aggiornamento dei dati inseriti, che non permettono di aiutare il cittadino nella compilazione del PAD individuale; non risulta quindi possibile il passaggio dei dati tra gli Enti, essendo così bloccato l'intero processo.
</t>
  </si>
  <si>
    <r>
      <t>Centri per l'Impiego/AFOL</t>
    </r>
    <r>
      <rPr>
        <sz val="11"/>
        <color rgb="FFFF0000"/>
        <rFont val="Calibri"/>
        <family val="2"/>
        <scheme val="minor"/>
      </rPr>
      <t xml:space="preserve">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</si>
</sst>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&quot;€&quot;\ #,##0.00;&quot;€&quot;\ \-#,##0.00"/>
    <numFmt numFmtId="166" formatCode="_ &quot;€&quot;\ * #,##0.00_ ;_ &quot;€&quot;\ * \-#,##0.00_ ;_ &quot;€&quot;\ * &quot;-&quot;??_ ;_ @_ "/>
    <numFmt numFmtId="167" formatCode="_ * #,##0.00_ ;_ * \-#,##0.00_ ;_ * &quot;-&quot;??_ ;_ @_ "/>
    <numFmt numFmtId="168" formatCode="_-[$€-410]\ * #,##0.00_-;\-[$€-410]\ * #,##0.00_-;_-[$€-410]\ * &quot;-&quot;??_-;_-@_-"/>
    <numFmt numFmtId="169" formatCode="dd/mm/yy;@"/>
    <numFmt numFmtId="170" formatCode="_ * #,##0_ ;_ * \-#,##0_ ;_ * &quot;-&quot;??_ ;_ @_ "/>
    <numFmt numFmtId="171" formatCode="&quot;€&quot;\ #,##0.00"/>
    <numFmt numFmtId="172" formatCode="_-* #,##0.00\ [$€-410]_-;\-* #,##0.00\ [$€-410]_-;_-* &quot;-&quot;??\ [$€-410]_-;_-@_-"/>
    <numFmt numFmtId="173" formatCode="0.0%"/>
    <numFmt numFmtId="174" formatCode="#,##0_ ;\-#,##0\ "/>
  </numFmts>
  <fonts count="47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F5496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2F5496"/>
      <name val="Calibri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b/>
      <sz val="8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 Light"/>
      <family val="2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1"/>
      <color rgb="FF2F5496"/>
      <name val="Calibri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 Light"/>
      <family val="2"/>
    </font>
    <font>
      <b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lightUp">
        <bgColor theme="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3" tint="-0.249977111117893"/>
      </top>
      <bottom/>
      <diagonal/>
    </border>
  </borders>
  <cellStyleXfs count="11">
    <xf numFmtId="0" fontId="0" fillId="0" borderId="0"/>
    <xf numFmtId="0" fontId="8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10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260">
    <xf numFmtId="0" fontId="0" fillId="0" borderId="0" xfId="0"/>
    <xf numFmtId="168" fontId="0" fillId="0" borderId="0" xfId="0" applyNumberFormat="1"/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170" fontId="13" fillId="3" borderId="1" xfId="2" applyNumberFormat="1" applyFont="1" applyFill="1" applyBorder="1" applyAlignment="1">
      <alignment horizontal="center" vertical="center"/>
    </xf>
    <xf numFmtId="10" fontId="13" fillId="3" borderId="1" xfId="7" applyNumberFormat="1" applyFont="1" applyFill="1" applyBorder="1" applyAlignment="1">
      <alignment horizontal="right" vertical="center"/>
    </xf>
    <xf numFmtId="0" fontId="10" fillId="0" borderId="0" xfId="0" applyFont="1"/>
    <xf numFmtId="0" fontId="14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3" fillId="4" borderId="1" xfId="0" applyFont="1" applyFill="1" applyBorder="1" applyAlignment="1">
      <alignment horizontal="right" vertical="center" wrapText="1"/>
    </xf>
    <xf numFmtId="165" fontId="13" fillId="4" borderId="1" xfId="9" applyNumberFormat="1" applyFont="1" applyFill="1" applyBorder="1" applyAlignment="1">
      <alignment vertical="center"/>
    </xf>
    <xf numFmtId="166" fontId="13" fillId="0" borderId="1" xfId="0" applyNumberFormat="1" applyFont="1" applyBorder="1" applyAlignment="1">
      <alignment vertical="center" wrapText="1"/>
    </xf>
    <xf numFmtId="0" fontId="15" fillId="0" borderId="0" xfId="0" applyFont="1"/>
    <xf numFmtId="0" fontId="13" fillId="0" borderId="0" xfId="0" applyFont="1"/>
    <xf numFmtId="166" fontId="11" fillId="0" borderId="0" xfId="9" applyNumberFormat="1" applyFont="1" applyAlignment="1">
      <alignment vertical="center"/>
    </xf>
    <xf numFmtId="166" fontId="17" fillId="0" borderId="6" xfId="10" applyFont="1" applyBorder="1" applyAlignment="1" applyProtection="1">
      <alignment vertical="center" wrapText="1"/>
      <protection locked="0"/>
    </xf>
    <xf numFmtId="0" fontId="21" fillId="5" borderId="6" xfId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vertical="center" wrapText="1"/>
      <protection locked="0"/>
    </xf>
    <xf numFmtId="167" fontId="10" fillId="3" borderId="6" xfId="3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2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66" fontId="17" fillId="0" borderId="6" xfId="0" applyNumberFormat="1" applyFont="1" applyBorder="1" applyAlignment="1" applyProtection="1">
      <alignment vertical="center" wrapText="1"/>
      <protection locked="0"/>
    </xf>
    <xf numFmtId="166" fontId="13" fillId="2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right" vertical="center" wrapText="1"/>
    </xf>
    <xf numFmtId="166" fontId="23" fillId="3" borderId="6" xfId="0" applyNumberFormat="1" applyFont="1" applyFill="1" applyBorder="1" applyAlignment="1">
      <alignment vertical="center" wrapText="1"/>
    </xf>
    <xf numFmtId="166" fontId="23" fillId="0" borderId="6" xfId="10" applyFont="1" applyBorder="1" applyAlignment="1" applyProtection="1">
      <alignment vertical="center" wrapText="1"/>
      <protection locked="0"/>
    </xf>
    <xf numFmtId="10" fontId="13" fillId="3" borderId="1" xfId="7" applyNumberFormat="1" applyFont="1" applyFill="1" applyBorder="1" applyAlignment="1">
      <alignment vertical="center" wrapText="1"/>
    </xf>
    <xf numFmtId="0" fontId="15" fillId="0" borderId="6" xfId="0" applyFont="1" applyBorder="1" applyAlignment="1" applyProtection="1">
      <alignment vertical="center" wrapText="1"/>
      <protection locked="0"/>
    </xf>
    <xf numFmtId="0" fontId="24" fillId="0" borderId="0" xfId="0" applyFont="1"/>
    <xf numFmtId="0" fontId="10" fillId="0" borderId="2" xfId="0" applyFont="1" applyBorder="1" applyAlignment="1">
      <alignment vertical="center" wrapText="1"/>
    </xf>
    <xf numFmtId="0" fontId="13" fillId="7" borderId="10" xfId="0" applyFont="1" applyFill="1" applyBorder="1" applyAlignment="1">
      <alignment horizontal="center" vertical="center" wrapText="1"/>
    </xf>
    <xf numFmtId="14" fontId="25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justify" wrapText="1"/>
    </xf>
    <xf numFmtId="0" fontId="6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right" vertical="center" wrapText="1"/>
    </xf>
    <xf numFmtId="10" fontId="13" fillId="3" borderId="0" xfId="7" applyNumberFormat="1" applyFont="1" applyFill="1" applyBorder="1" applyAlignment="1">
      <alignment vertical="center" wrapText="1"/>
    </xf>
    <xf numFmtId="164" fontId="15" fillId="3" borderId="1" xfId="0" applyNumberFormat="1" applyFont="1" applyFill="1" applyBorder="1"/>
    <xf numFmtId="0" fontId="15" fillId="3" borderId="1" xfId="0" applyFont="1" applyFill="1" applyBorder="1"/>
    <xf numFmtId="166" fontId="17" fillId="8" borderId="6" xfId="10" applyFont="1" applyFill="1" applyBorder="1" applyAlignment="1" applyProtection="1">
      <alignment vertical="center" wrapText="1"/>
      <protection locked="0"/>
    </xf>
    <xf numFmtId="166" fontId="17" fillId="8" borderId="12" xfId="10" applyFont="1" applyFill="1" applyBorder="1" applyAlignment="1" applyProtection="1">
      <alignment vertical="center" wrapText="1"/>
      <protection locked="0"/>
    </xf>
    <xf numFmtId="44" fontId="17" fillId="0" borderId="6" xfId="9" applyFont="1" applyBorder="1" applyAlignment="1" applyProtection="1">
      <alignment vertical="center" wrapText="1"/>
      <protection locked="0"/>
    </xf>
    <xf numFmtId="166" fontId="23" fillId="3" borderId="6" xfId="10" applyFont="1" applyFill="1" applyBorder="1" applyAlignment="1" applyProtection="1">
      <alignment horizontal="right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9" fontId="30" fillId="9" borderId="1" xfId="7" applyFont="1" applyFill="1" applyBorder="1" applyAlignment="1">
      <alignment vertical="center" wrapText="1"/>
    </xf>
    <xf numFmtId="172" fontId="0" fillId="0" borderId="1" xfId="0" applyNumberFormat="1" applyBorder="1" applyAlignment="1">
      <alignment vertical="center" wrapText="1"/>
    </xf>
    <xf numFmtId="0" fontId="0" fillId="0" borderId="1" xfId="0" applyBorder="1"/>
    <xf numFmtId="0" fontId="11" fillId="0" borderId="1" xfId="0" applyFont="1" applyBorder="1" applyAlignment="1">
      <alignment horizontal="right" vertical="center" wrapText="1" indent="1"/>
    </xf>
    <xf numFmtId="0" fontId="11" fillId="3" borderId="1" xfId="0" applyFont="1" applyFill="1" applyBorder="1"/>
    <xf numFmtId="44" fontId="11" fillId="3" borderId="1" xfId="9" applyFont="1" applyFill="1" applyBorder="1"/>
    <xf numFmtId="0" fontId="31" fillId="3" borderId="6" xfId="0" applyFont="1" applyFill="1" applyBorder="1" applyAlignment="1">
      <alignment horizontal="right" vertical="center" wrapText="1"/>
    </xf>
    <xf numFmtId="173" fontId="0" fillId="0" borderId="0" xfId="7" applyNumberFormat="1" applyFont="1"/>
    <xf numFmtId="173" fontId="15" fillId="0" borderId="0" xfId="7" applyNumberFormat="1" applyFont="1"/>
    <xf numFmtId="0" fontId="11" fillId="0" borderId="1" xfId="0" applyFont="1" applyBorder="1" applyAlignment="1">
      <alignment horizontal="right" vertical="center"/>
    </xf>
    <xf numFmtId="9" fontId="0" fillId="0" borderId="0" xfId="7" applyFont="1"/>
    <xf numFmtId="9" fontId="26" fillId="0" borderId="9" xfId="7" applyFont="1" applyBorder="1" applyAlignment="1">
      <alignment vertical="center" textRotation="90"/>
    </xf>
    <xf numFmtId="9" fontId="29" fillId="2" borderId="1" xfId="7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vertical="center" wrapText="1"/>
    </xf>
    <xf numFmtId="0" fontId="8" fillId="0" borderId="0" xfId="1"/>
    <xf numFmtId="0" fontId="16" fillId="2" borderId="1" xfId="0" applyFont="1" applyFill="1" applyBorder="1" applyAlignment="1">
      <alignment horizontal="center" vertical="center" wrapText="1"/>
    </xf>
    <xf numFmtId="171" fontId="23" fillId="3" borderId="1" xfId="10" applyNumberFormat="1" applyFont="1" applyFill="1" applyBorder="1" applyAlignment="1" applyProtection="1">
      <alignment vertical="center" wrapText="1"/>
    </xf>
    <xf numFmtId="173" fontId="16" fillId="2" borderId="1" xfId="7" applyNumberFormat="1" applyFont="1" applyFill="1" applyBorder="1" applyAlignment="1">
      <alignment horizontal="center" vertical="center" wrapText="1"/>
    </xf>
    <xf numFmtId="44" fontId="17" fillId="0" borderId="1" xfId="9" applyFont="1" applyBorder="1" applyAlignment="1" applyProtection="1">
      <alignment vertical="center" wrapText="1"/>
      <protection locked="0"/>
    </xf>
    <xf numFmtId="173" fontId="17" fillId="0" borderId="1" xfId="7" applyNumberFormat="1" applyFont="1" applyBorder="1" applyAlignment="1" applyProtection="1">
      <alignment vertical="center" wrapText="1"/>
      <protection locked="0"/>
    </xf>
    <xf numFmtId="173" fontId="17" fillId="3" borderId="1" xfId="7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>
      <alignment horizontal="left" vertical="top"/>
    </xf>
    <xf numFmtId="0" fontId="27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166" fontId="37" fillId="8" borderId="6" xfId="10" applyFont="1" applyFill="1" applyBorder="1" applyAlignment="1" applyProtection="1">
      <alignment horizontal="right" vertical="center" wrapText="1"/>
      <protection locked="0"/>
    </xf>
    <xf numFmtId="166" fontId="37" fillId="8" borderId="12" xfId="10" applyFont="1" applyFill="1" applyBorder="1" applyAlignment="1" applyProtection="1">
      <alignment horizontal="right" vertical="center" wrapText="1"/>
      <protection locked="0"/>
    </xf>
    <xf numFmtId="2" fontId="10" fillId="0" borderId="6" xfId="0" applyNumberFormat="1" applyFont="1" applyBorder="1" applyAlignment="1" applyProtection="1">
      <alignment vertical="center" wrapText="1"/>
      <protection locked="0"/>
    </xf>
    <xf numFmtId="2" fontId="10" fillId="3" borderId="6" xfId="0" applyNumberFormat="1" applyFont="1" applyFill="1" applyBorder="1" applyAlignment="1">
      <alignment horizontal="center" vertical="center" wrapText="1"/>
    </xf>
    <xf numFmtId="2" fontId="22" fillId="0" borderId="0" xfId="0" applyNumberFormat="1" applyFont="1"/>
    <xf numFmtId="2" fontId="5" fillId="0" borderId="0" xfId="0" applyNumberFormat="1" applyFont="1" applyAlignment="1">
      <alignment horizontal="left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2" fontId="17" fillId="0" borderId="6" xfId="10" applyNumberFormat="1" applyFont="1" applyBorder="1" applyAlignment="1" applyProtection="1">
      <alignment vertical="center" wrapText="1"/>
      <protection locked="0"/>
    </xf>
    <xf numFmtId="2" fontId="17" fillId="8" borderId="6" xfId="10" applyNumberFormat="1" applyFont="1" applyFill="1" applyBorder="1" applyAlignment="1" applyProtection="1">
      <alignment horizontal="right" vertical="center" wrapText="1"/>
      <protection locked="0"/>
    </xf>
    <xf numFmtId="2" fontId="27" fillId="3" borderId="1" xfId="0" applyNumberFormat="1" applyFont="1" applyFill="1" applyBorder="1" applyAlignment="1">
      <alignment horizontal="right"/>
    </xf>
    <xf numFmtId="2" fontId="15" fillId="0" borderId="0" xfId="0" applyNumberFormat="1" applyFont="1" applyAlignment="1">
      <alignment horizontal="left" vertical="top"/>
    </xf>
    <xf numFmtId="2" fontId="0" fillId="0" borderId="0" xfId="0" applyNumberFormat="1"/>
    <xf numFmtId="0" fontId="34" fillId="2" borderId="6" xfId="0" applyFont="1" applyFill="1" applyBorder="1" applyAlignment="1">
      <alignment horizontal="center" vertical="center" wrapText="1"/>
    </xf>
    <xf numFmtId="1" fontId="19" fillId="0" borderId="6" xfId="0" applyNumberFormat="1" applyFont="1" applyBorder="1" applyAlignment="1" applyProtection="1">
      <alignment horizontal="center" vertical="center" wrapText="1"/>
      <protection locked="0"/>
    </xf>
    <xf numFmtId="1" fontId="10" fillId="0" borderId="6" xfId="0" applyNumberFormat="1" applyFont="1" applyBorder="1" applyAlignment="1" applyProtection="1">
      <alignment horizontal="right" vertical="center" wrapText="1"/>
      <protection locked="0"/>
    </xf>
    <xf numFmtId="1" fontId="19" fillId="0" borderId="12" xfId="0" applyNumberFormat="1" applyFont="1" applyBorder="1" applyAlignment="1" applyProtection="1">
      <alignment horizontal="center" vertical="center" wrapText="1"/>
      <protection locked="0"/>
    </xf>
    <xf numFmtId="1" fontId="10" fillId="0" borderId="12" xfId="0" applyNumberFormat="1" applyFont="1" applyBorder="1" applyAlignment="1" applyProtection="1">
      <alignment horizontal="right" vertical="center" wrapText="1"/>
      <protection locked="0"/>
    </xf>
    <xf numFmtId="1" fontId="13" fillId="3" borderId="1" xfId="0" applyNumberFormat="1" applyFont="1" applyFill="1" applyBorder="1" applyAlignment="1">
      <alignment horizontal="right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44" fontId="17" fillId="0" borderId="19" xfId="9" applyFont="1" applyBorder="1" applyAlignment="1" applyProtection="1">
      <alignment vertical="center" wrapText="1"/>
      <protection locked="0"/>
    </xf>
    <xf numFmtId="44" fontId="23" fillId="3" borderId="19" xfId="9" applyFont="1" applyFill="1" applyBorder="1" applyAlignment="1" applyProtection="1">
      <alignment vertical="center" wrapText="1"/>
    </xf>
    <xf numFmtId="9" fontId="23" fillId="3" borderId="19" xfId="7" applyFont="1" applyFill="1" applyBorder="1" applyAlignment="1" applyProtection="1">
      <alignment vertical="center" wrapText="1"/>
    </xf>
    <xf numFmtId="9" fontId="0" fillId="0" borderId="1" xfId="7" applyFont="1" applyBorder="1" applyAlignment="1">
      <alignment vertical="center"/>
    </xf>
    <xf numFmtId="0" fontId="0" fillId="0" borderId="1" xfId="0" applyBorder="1" applyAlignment="1">
      <alignment vertical="center" wrapText="1"/>
    </xf>
    <xf numFmtId="166" fontId="11" fillId="6" borderId="1" xfId="0" applyNumberFormat="1" applyFont="1" applyFill="1" applyBorder="1" applyAlignment="1">
      <alignment vertical="center"/>
    </xf>
    <xf numFmtId="10" fontId="11" fillId="6" borderId="1" xfId="7" applyNumberFormat="1" applyFont="1" applyFill="1" applyBorder="1" applyAlignment="1">
      <alignment vertical="center"/>
    </xf>
    <xf numFmtId="0" fontId="13" fillId="0" borderId="0" xfId="0" applyFont="1" applyAlignment="1" applyProtection="1">
      <alignment horizontal="left" vertical="center" wrapText="1"/>
      <protection locked="0"/>
    </xf>
    <xf numFmtId="0" fontId="39" fillId="0" borderId="0" xfId="0" applyFont="1" applyAlignment="1">
      <alignment vertical="center"/>
    </xf>
    <xf numFmtId="0" fontId="40" fillId="11" borderId="21" xfId="0" applyFont="1" applyFill="1" applyBorder="1" applyAlignment="1">
      <alignment horizontal="center" vertical="center" wrapText="1"/>
    </xf>
    <xf numFmtId="0" fontId="40" fillId="11" borderId="2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2" fillId="0" borderId="1" xfId="1" quotePrefix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30" fillId="0" borderId="0" xfId="0" applyFont="1" applyAlignment="1">
      <alignment horizontal="left"/>
    </xf>
    <xf numFmtId="173" fontId="15" fillId="0" borderId="1" xfId="7" applyNumberFormat="1" applyFont="1" applyBorder="1"/>
    <xf numFmtId="173" fontId="0" fillId="0" borderId="1" xfId="7" applyNumberFormat="1" applyFont="1" applyBorder="1"/>
    <xf numFmtId="0" fontId="0" fillId="2" borderId="1" xfId="0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10" fillId="0" borderId="1" xfId="9" applyFont="1" applyFill="1" applyBorder="1" applyAlignment="1" applyProtection="1">
      <alignment vertical="center" wrapText="1"/>
      <protection locked="0"/>
    </xf>
    <xf numFmtId="44" fontId="13" fillId="0" borderId="1" xfId="9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4" xfId="0" applyBorder="1"/>
    <xf numFmtId="0" fontId="10" fillId="0" borderId="0" xfId="0" applyFont="1" applyAlignment="1" applyProtection="1">
      <alignment vertical="center" wrapText="1"/>
      <protection locked="0"/>
    </xf>
    <xf numFmtId="0" fontId="28" fillId="0" borderId="1" xfId="0" applyFont="1" applyBorder="1" applyAlignment="1">
      <alignment vertical="center" wrapText="1"/>
    </xf>
    <xf numFmtId="0" fontId="28" fillId="0" borderId="23" xfId="0" applyFont="1" applyBorder="1" applyAlignment="1">
      <alignment vertical="top" wrapText="1"/>
    </xf>
    <xf numFmtId="0" fontId="11" fillId="0" borderId="0" xfId="0" applyFont="1"/>
    <xf numFmtId="0" fontId="27" fillId="0" borderId="0" xfId="0" applyFont="1"/>
    <xf numFmtId="0" fontId="20" fillId="0" borderId="0" xfId="0" applyFont="1"/>
    <xf numFmtId="0" fontId="0" fillId="0" borderId="1" xfId="0" applyBorder="1" applyAlignment="1">
      <alignment vertical="top" wrapText="1"/>
    </xf>
    <xf numFmtId="166" fontId="44" fillId="0" borderId="6" xfId="1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5" fillId="0" borderId="6" xfId="0" applyFont="1" applyBorder="1" applyAlignment="1">
      <alignment horizontal="left" vertical="center" wrapText="1"/>
    </xf>
    <xf numFmtId="1" fontId="43" fillId="0" borderId="6" xfId="0" applyNumberFormat="1" applyFont="1" applyBorder="1" applyAlignment="1" applyProtection="1">
      <alignment horizontal="center" vertical="center" wrapText="1"/>
      <protection locked="0"/>
    </xf>
    <xf numFmtId="1" fontId="0" fillId="0" borderId="6" xfId="0" applyNumberFormat="1" applyBorder="1" applyAlignment="1" applyProtection="1">
      <alignment horizontal="right" vertical="center" wrapText="1"/>
      <protection locked="0"/>
    </xf>
    <xf numFmtId="1" fontId="43" fillId="0" borderId="12" xfId="0" applyNumberFormat="1" applyFont="1" applyBorder="1" applyAlignment="1" applyProtection="1">
      <alignment horizontal="center" vertical="center" wrapText="1"/>
      <protection locked="0"/>
    </xf>
    <xf numFmtId="1" fontId="0" fillId="0" borderId="12" xfId="0" applyNumberFormat="1" applyBorder="1" applyAlignment="1" applyProtection="1">
      <alignment horizontal="right" vertical="center" wrapText="1"/>
      <protection locked="0"/>
    </xf>
    <xf numFmtId="44" fontId="44" fillId="0" borderId="6" xfId="9" applyFont="1" applyBorder="1" applyAlignment="1" applyProtection="1">
      <alignment vertical="center" wrapText="1"/>
      <protection locked="0"/>
    </xf>
    <xf numFmtId="0" fontId="0" fillId="0" borderId="26" xfId="0" applyBorder="1" applyAlignment="1">
      <alignment horizontal="left" vertical="center"/>
    </xf>
    <xf numFmtId="0" fontId="0" fillId="0" borderId="26" xfId="0" applyBorder="1"/>
    <xf numFmtId="0" fontId="0" fillId="0" borderId="21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1" xfId="0" applyBorder="1"/>
    <xf numFmtId="0" fontId="0" fillId="0" borderId="27" xfId="0" applyBorder="1" applyAlignment="1">
      <alignment horizontal="left" vertical="top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vertical="top"/>
    </xf>
    <xf numFmtId="0" fontId="0" fillId="0" borderId="26" xfId="0" applyBorder="1" applyAlignment="1">
      <alignment vertical="top"/>
    </xf>
    <xf numFmtId="172" fontId="0" fillId="0" borderId="0" xfId="0" applyNumberFormat="1"/>
    <xf numFmtId="0" fontId="0" fillId="0" borderId="3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8" xfId="0" applyBorder="1" applyAlignment="1">
      <alignment vertical="top"/>
    </xf>
    <xf numFmtId="0" fontId="0" fillId="0" borderId="33" xfId="0" applyBorder="1"/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8" fillId="0" borderId="0" xfId="1" applyAlignment="1">
      <alignment horizontal="left"/>
    </xf>
    <xf numFmtId="0" fontId="10" fillId="0" borderId="1" xfId="0" applyFont="1" applyBorder="1" applyAlignment="1">
      <alignment horizontal="center"/>
    </xf>
    <xf numFmtId="166" fontId="20" fillId="5" borderId="1" xfId="9" applyNumberFormat="1" applyFont="1" applyFill="1" applyBorder="1" applyAlignment="1">
      <alignment horizontal="left"/>
    </xf>
    <xf numFmtId="0" fontId="10" fillId="0" borderId="1" xfId="0" applyFont="1" applyBorder="1" applyAlignment="1">
      <alignment horizontal="left"/>
    </xf>
    <xf numFmtId="169" fontId="18" fillId="0" borderId="1" xfId="0" applyNumberFormat="1" applyFont="1" applyBorder="1" applyAlignment="1">
      <alignment horizontal="left" vertical="center"/>
    </xf>
    <xf numFmtId="0" fontId="10" fillId="0" borderId="1" xfId="0" applyFont="1" applyBorder="1"/>
    <xf numFmtId="0" fontId="19" fillId="0" borderId="1" xfId="0" applyFont="1" applyBorder="1"/>
    <xf numFmtId="0" fontId="11" fillId="0" borderId="0" xfId="0" applyFont="1" applyAlignment="1">
      <alignment horizontal="left" vertical="top"/>
    </xf>
    <xf numFmtId="7" fontId="20" fillId="5" borderId="1" xfId="2" applyNumberFormat="1" applyFont="1" applyFill="1" applyBorder="1" applyAlignment="1">
      <alignment horizontal="right"/>
    </xf>
    <xf numFmtId="174" fontId="20" fillId="5" borderId="1" xfId="2" applyNumberFormat="1" applyFont="1" applyFill="1" applyBorder="1" applyAlignment="1">
      <alignment horizontal="right"/>
    </xf>
    <xf numFmtId="7" fontId="13" fillId="4" borderId="1" xfId="9" applyNumberFormat="1" applyFont="1" applyFill="1" applyBorder="1" applyAlignment="1">
      <alignment vertical="center"/>
    </xf>
    <xf numFmtId="0" fontId="26" fillId="0" borderId="9" xfId="0" applyFont="1" applyBorder="1" applyAlignment="1">
      <alignment horizontal="center" vertical="center" textRotation="90"/>
    </xf>
    <xf numFmtId="0" fontId="43" fillId="0" borderId="26" xfId="0" applyFont="1" applyBorder="1"/>
    <xf numFmtId="0" fontId="4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4" fontId="0" fillId="0" borderId="0" xfId="0" applyNumberFormat="1"/>
    <xf numFmtId="0" fontId="0" fillId="0" borderId="14" xfId="0" applyBorder="1" applyAlignment="1">
      <alignment horizontal="center"/>
    </xf>
    <xf numFmtId="170" fontId="13" fillId="3" borderId="1" xfId="2" applyNumberFormat="1" applyFont="1" applyFill="1" applyBorder="1" applyAlignment="1">
      <alignment vertic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12" borderId="0" xfId="0" applyFill="1"/>
    <xf numFmtId="0" fontId="0" fillId="12" borderId="1" xfId="0" applyFill="1" applyBorder="1"/>
    <xf numFmtId="0" fontId="41" fillId="12" borderId="1" xfId="0" applyFont="1" applyFill="1" applyBorder="1" applyAlignment="1">
      <alignment vertical="center" wrapText="1"/>
    </xf>
    <xf numFmtId="0" fontId="0" fillId="12" borderId="1" xfId="0" applyFill="1" applyBorder="1" applyAlignment="1">
      <alignment horizontal="left"/>
    </xf>
    <xf numFmtId="44" fontId="17" fillId="12" borderId="1" xfId="9" applyFont="1" applyFill="1" applyBorder="1" applyAlignment="1" applyProtection="1">
      <alignment vertical="center" wrapText="1"/>
      <protection locked="0"/>
    </xf>
    <xf numFmtId="0" fontId="0" fillId="12" borderId="1" xfId="0" applyFill="1" applyBorder="1" applyAlignment="1">
      <alignment vertical="center" wrapText="1"/>
    </xf>
    <xf numFmtId="172" fontId="0" fillId="12" borderId="1" xfId="0" applyNumberFormat="1" applyFill="1" applyBorder="1" applyAlignment="1">
      <alignment vertical="center" wrapText="1"/>
    </xf>
    <xf numFmtId="9" fontId="30" fillId="12" borderId="1" xfId="7" applyFont="1" applyFill="1" applyBorder="1" applyAlignment="1">
      <alignment vertical="center" wrapText="1"/>
    </xf>
    <xf numFmtId="173" fontId="30" fillId="12" borderId="1" xfId="7" applyNumberFormat="1" applyFont="1" applyFill="1" applyBorder="1" applyAlignment="1">
      <alignment vertical="center" wrapText="1"/>
    </xf>
    <xf numFmtId="9" fontId="13" fillId="3" borderId="1" xfId="7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0" fontId="32" fillId="0" borderId="36" xfId="0" applyFont="1" applyBorder="1" applyAlignment="1">
      <alignment horizontal="center" vertical="top" wrapText="1"/>
    </xf>
    <xf numFmtId="0" fontId="3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8" fillId="0" borderId="0" xfId="1" applyAlignment="1">
      <alignment horizontal="left" wrapText="1"/>
    </xf>
    <xf numFmtId="0" fontId="22" fillId="0" borderId="36" xfId="0" applyFont="1" applyBorder="1" applyAlignment="1">
      <alignment horizontal="center" vertical="center"/>
    </xf>
    <xf numFmtId="0" fontId="33" fillId="0" borderId="3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16" fillId="5" borderId="6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0" fontId="16" fillId="5" borderId="12" xfId="0" applyFont="1" applyFill="1" applyBorder="1" applyAlignment="1" applyProtection="1">
      <alignment horizontal="center" vertical="center" wrapText="1"/>
      <protection locked="0"/>
    </xf>
    <xf numFmtId="0" fontId="16" fillId="5" borderId="13" xfId="0" applyFont="1" applyFill="1" applyBorder="1" applyAlignment="1" applyProtection="1">
      <alignment horizontal="center" vertical="center" wrapText="1"/>
      <protection locked="0"/>
    </xf>
    <xf numFmtId="0" fontId="16" fillId="5" borderId="6" xfId="1" applyFont="1" applyFill="1" applyBorder="1" applyAlignment="1" applyProtection="1">
      <alignment horizontal="center" vertical="center" wrapText="1"/>
      <protection locked="0"/>
    </xf>
    <xf numFmtId="0" fontId="21" fillId="5" borderId="6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1" fillId="2" borderId="2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left" vertical="top" wrapText="1"/>
    </xf>
    <xf numFmtId="0" fontId="11" fillId="0" borderId="1" xfId="0" applyFont="1" applyBorder="1" applyAlignment="1">
      <alignment horizontal="center" wrapText="1"/>
    </xf>
    <xf numFmtId="0" fontId="0" fillId="12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10" fillId="2" borderId="24" xfId="0" applyFont="1" applyFill="1" applyBorder="1" applyAlignment="1">
      <alignment horizontal="left" vertical="center" wrapText="1"/>
    </xf>
    <xf numFmtId="0" fontId="10" fillId="2" borderId="2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41" fillId="12" borderId="20" xfId="0" applyFont="1" applyFill="1" applyBorder="1" applyAlignment="1">
      <alignment horizontal="center" vertical="center" wrapText="1"/>
    </xf>
    <xf numFmtId="0" fontId="41" fillId="12" borderId="24" xfId="0" applyFont="1" applyFill="1" applyBorder="1" applyAlignment="1">
      <alignment horizontal="center" vertical="center" wrapText="1"/>
    </xf>
    <xf numFmtId="0" fontId="41" fillId="12" borderId="5" xfId="0" applyFont="1" applyFill="1" applyBorder="1" applyAlignment="1">
      <alignment horizontal="center" vertical="center" wrapText="1"/>
    </xf>
    <xf numFmtId="0" fontId="41" fillId="12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9" fontId="33" fillId="0" borderId="3" xfId="7" applyFont="1" applyBorder="1" applyAlignment="1">
      <alignment horizontal="left" vertical="center" textRotation="90"/>
    </xf>
    <xf numFmtId="0" fontId="11" fillId="2" borderId="4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5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5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</cellXfs>
  <cellStyles count="11">
    <cellStyle name="Collegamento ipertestuale" xfId="1" builtinId="8"/>
    <cellStyle name="Migliaia" xfId="2" builtinId="3"/>
    <cellStyle name="Migliaia 2" xfId="3" xr:uid="{00000000-0005-0000-0000-000002000000}"/>
    <cellStyle name="Migliaia 3" xfId="4" xr:uid="{00000000-0005-0000-0000-000003000000}"/>
    <cellStyle name="Normale" xfId="0" builtinId="0"/>
    <cellStyle name="Normale 2" xfId="5" xr:uid="{00000000-0005-0000-0000-000005000000}"/>
    <cellStyle name="Normale 3" xfId="6" xr:uid="{00000000-0005-0000-0000-000006000000}"/>
    <cellStyle name="Percentuale" xfId="7" builtinId="5"/>
    <cellStyle name="Percentuale 2" xfId="8" xr:uid="{00000000-0005-0000-0000-000008000000}"/>
    <cellStyle name="Valuta" xfId="9" builtinId="4"/>
    <cellStyle name="Valuta 2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1046506</xdr:colOff>
      <xdr:row>0</xdr:row>
      <xdr:rowOff>289063</xdr:rowOff>
    </xdr:from>
    <xdr:to>
      <xdr:col>1</xdr:col>
      <xdr:colOff>1847021</xdr:colOff>
      <xdr:row>1</xdr:row>
      <xdr:rowOff>281609</xdr:rowOff>
    </xdr:to>
    <xdr:grpSp>
      <xdr:nvGrpSpPr>
        <xdr:cNvPr id="15836" name="Gruppo 1">
          <a:extLst>
            <a:ext uri="{FF2B5EF4-FFF2-40B4-BE49-F238E27FC236}">
              <a16:creationId xmlns:a16="http://schemas.microsoft.com/office/drawing/2014/main" id="{F586DBDF-02FC-9ED6-5EEC-62945FCB005B}"/>
            </a:ext>
          </a:extLst>
        </xdr:cNvPr>
        <xdr:cNvGrpSpPr>
          <a:grpSpLocks/>
        </xdr:cNvGrpSpPr>
      </xdr:nvGrpSpPr>
      <xdr:grpSpPr bwMode="auto">
        <a:xfrm>
          <a:off x="1046506" y="289063"/>
          <a:ext cx="3687323" cy="476123"/>
          <a:chOff x="0" y="0"/>
          <a:chExt cx="4810027" cy="444500"/>
        </a:xfrm>
      </xdr:grpSpPr>
      <xdr:sp macro="" textlink="">
        <xdr:nvSpPr>
          <xdr:cNvPr id="15837" name="object 12">
            <a:extLst>
              <a:ext uri="{FF2B5EF4-FFF2-40B4-BE49-F238E27FC236}">
                <a16:creationId xmlns:a16="http://schemas.microsoft.com/office/drawing/2014/main" id="{FCC71881-F72A-7F2F-49B0-AB7D0C960A11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4768850" cy="444500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stretch>
              <a:fillRect/>
            </a:stretch>
          </a:blip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cxnSp macro="">
        <xdr:nvCxnSpPr>
          <xdr:cNvPr id="5" name="Connettore diritto 4">
            <a:extLst>
              <a:ext uri="{FF2B5EF4-FFF2-40B4-BE49-F238E27FC236}">
                <a16:creationId xmlns:a16="http://schemas.microsoft.com/office/drawing/2014/main" id="{9AD5A677-ABDF-794A-D043-A75E80B2CFF5}"/>
              </a:ext>
            </a:extLst>
          </xdr:cNvPr>
          <xdr:cNvCxnSpPr/>
        </xdr:nvCxnSpPr>
        <xdr:spPr>
          <a:xfrm>
            <a:off x="4810027" y="44450"/>
            <a:ext cx="0" cy="37782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1958837</xdr:colOff>
      <xdr:row>2</xdr:row>
      <xdr:rowOff>530914</xdr:rowOff>
    </xdr:from>
    <xdr:to>
      <xdr:col>1</xdr:col>
      <xdr:colOff>476250</xdr:colOff>
      <xdr:row>3</xdr:row>
      <xdr:rowOff>454269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52013FAE-FDB9-4B37-8016-B71CC767FB5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837" y="1498068"/>
          <a:ext cx="1404221" cy="641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272143</xdr:colOff>
      <xdr:row>4</xdr:row>
      <xdr:rowOff>76200</xdr:rowOff>
    </xdr:from>
    <xdr:to>
      <xdr:col>3</xdr:col>
      <xdr:colOff>1295400</xdr:colOff>
      <xdr:row>4</xdr:row>
      <xdr:rowOff>283028</xdr:rowOff>
    </xdr:to>
    <xdr:sp macro="" textlink="">
      <xdr:nvSpPr>
        <xdr:cNvPr id="2" name="Freccia a sinistra 1">
          <a:extLst>
            <a:ext uri="{FF2B5EF4-FFF2-40B4-BE49-F238E27FC236}">
              <a16:creationId xmlns:a16="http://schemas.microsoft.com/office/drawing/2014/main" id="{91C821D8-9C93-3754-5F95-070317E902B9}"/>
            </a:ext>
          </a:extLst>
        </xdr:cNvPr>
        <xdr:cNvSpPr/>
      </xdr:nvSpPr>
      <xdr:spPr>
        <a:xfrm>
          <a:off x="6705600" y="1578429"/>
          <a:ext cx="1023257" cy="206828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5"/>
  <sheetViews>
    <sheetView showGridLines="0" topLeftCell="A4" zoomScale="130" zoomScaleNormal="130" workbookViewId="0">
      <selection activeCell="C3" sqref="A3:XFD3"/>
    </sheetView>
  </sheetViews>
  <sheetFormatPr defaultColWidth="8.5703125" defaultRowHeight="15" x14ac:dyDescent="0.25"/>
  <cols>
    <col min="1" max="1" width="43.28515625" customWidth="1"/>
    <col min="2" max="2" width="38.28515625" customWidth="1"/>
    <col min="3" max="3" width="21.140625" customWidth="1"/>
  </cols>
  <sheetData>
    <row r="1" spans="1:3" ht="38.25" customHeight="1" x14ac:dyDescent="0.25"/>
    <row r="2" spans="1:3" ht="38.25" customHeight="1" x14ac:dyDescent="0.25">
      <c r="C2" s="165" t="s">
        <v>277</v>
      </c>
    </row>
    <row r="3" spans="1:3" ht="56.25" customHeight="1" x14ac:dyDescent="0.25">
      <c r="A3" s="190" t="s">
        <v>278</v>
      </c>
      <c r="B3" s="190"/>
    </row>
    <row r="4" spans="1:3" ht="47.25" customHeight="1" x14ac:dyDescent="0.25">
      <c r="A4" s="191"/>
      <c r="B4" s="191"/>
    </row>
    <row r="5" spans="1:3" ht="36" customHeight="1" x14ac:dyDescent="0.25">
      <c r="A5" s="192" t="s">
        <v>276</v>
      </c>
      <c r="B5" s="192"/>
    </row>
    <row r="6" spans="1:3" ht="27" customHeight="1" x14ac:dyDescent="0.25">
      <c r="A6" s="159" t="s">
        <v>0</v>
      </c>
      <c r="B6" s="160" t="s">
        <v>282</v>
      </c>
    </row>
    <row r="7" spans="1:3" ht="15.75" x14ac:dyDescent="0.25">
      <c r="A7" s="159"/>
      <c r="B7" s="161"/>
      <c r="C7" s="31"/>
    </row>
    <row r="8" spans="1:3" ht="15.75" x14ac:dyDescent="0.25">
      <c r="A8" s="159" t="s">
        <v>275</v>
      </c>
      <c r="B8" s="160" t="s">
        <v>283</v>
      </c>
    </row>
    <row r="9" spans="1:3" ht="15.75" x14ac:dyDescent="0.25">
      <c r="A9" s="159"/>
      <c r="B9" s="162"/>
    </row>
    <row r="10" spans="1:3" ht="15.75" x14ac:dyDescent="0.25">
      <c r="A10" s="159" t="s">
        <v>279</v>
      </c>
      <c r="B10" s="167">
        <v>82101</v>
      </c>
    </row>
    <row r="11" spans="1:3" ht="15.75" x14ac:dyDescent="0.25">
      <c r="A11" s="163"/>
      <c r="B11" s="164"/>
    </row>
    <row r="12" spans="1:3" ht="15.75" x14ac:dyDescent="0.25">
      <c r="A12" s="159" t="s">
        <v>152</v>
      </c>
      <c r="B12" s="166">
        <v>388171.87</v>
      </c>
    </row>
    <row r="13" spans="1:3" ht="45.75" customHeight="1" x14ac:dyDescent="0.25">
      <c r="A13" s="194" t="s">
        <v>1</v>
      </c>
      <c r="B13" s="194"/>
    </row>
    <row r="14" spans="1:3" ht="15.75" x14ac:dyDescent="0.25">
      <c r="A14" s="14" t="s">
        <v>2</v>
      </c>
    </row>
    <row r="15" spans="1:3" x14ac:dyDescent="0.25">
      <c r="A15" s="63" t="s">
        <v>3</v>
      </c>
    </row>
    <row r="16" spans="1:3" ht="15.75" x14ac:dyDescent="0.25">
      <c r="A16" s="14" t="s">
        <v>4</v>
      </c>
    </row>
    <row r="17" spans="1:2" x14ac:dyDescent="0.25">
      <c r="A17" s="193" t="s">
        <v>5</v>
      </c>
      <c r="B17" s="193"/>
    </row>
    <row r="18" spans="1:2" x14ac:dyDescent="0.25">
      <c r="A18" s="63" t="s">
        <v>6</v>
      </c>
    </row>
    <row r="19" spans="1:2" x14ac:dyDescent="0.25">
      <c r="A19" s="63" t="s">
        <v>271</v>
      </c>
    </row>
    <row r="20" spans="1:2" x14ac:dyDescent="0.25">
      <c r="A20" s="63" t="s">
        <v>272</v>
      </c>
    </row>
    <row r="21" spans="1:2" x14ac:dyDescent="0.25">
      <c r="A21" s="193" t="s">
        <v>7</v>
      </c>
      <c r="B21" s="193"/>
    </row>
    <row r="22" spans="1:2" x14ac:dyDescent="0.25">
      <c r="A22" s="63" t="s">
        <v>8</v>
      </c>
    </row>
    <row r="23" spans="1:2" x14ac:dyDescent="0.25">
      <c r="A23" s="63" t="s">
        <v>9</v>
      </c>
    </row>
    <row r="24" spans="1:2" x14ac:dyDescent="0.25">
      <c r="A24" s="63" t="s">
        <v>273</v>
      </c>
    </row>
    <row r="25" spans="1:2" x14ac:dyDescent="0.25">
      <c r="A25" s="158" t="s">
        <v>274</v>
      </c>
    </row>
  </sheetData>
  <mergeCells count="5">
    <mergeCell ref="A3:B4"/>
    <mergeCell ref="A5:B5"/>
    <mergeCell ref="A17:B17"/>
    <mergeCell ref="A21:B21"/>
    <mergeCell ref="A13:B13"/>
  </mergeCells>
  <hyperlinks>
    <hyperlink ref="A15" location="'Tabella Analisi'!A1" display="Tab Analisi – Indicatori domanda sociale e PUC (Progetti utili alla collettività)" xr:uid="{00000000-0004-0000-0000-000000000000}"/>
    <hyperlink ref="A17:B17" location="'Tab 1'!A1" display="Tab 1 – Azione 1: Rafforzamento del Servizio sociale professionale dell’Ambito Sociale Territoriale/del Distretto Sociosanitario." xr:uid="{00000000-0004-0000-0000-000001000000}"/>
    <hyperlink ref="A18" location="'Tab 2'!A1" display="Tab 2 –  Azione 2: Interventi e servizi di inclusione " xr:uid="{00000000-0004-0000-0000-000002000000}"/>
    <hyperlink ref="A21:B21" location="'Tab 3'!A1" display="Tab 3 –  Azione 3: Programmazione Servizi di segretariato sociale" xr:uid="{00000000-0004-0000-0000-000003000000}"/>
    <hyperlink ref="A22" location="'Tab 4'!A1" display="Tab 4 – Azione 4: Sistemi informativi " xr:uid="{00000000-0004-0000-0000-000004000000}"/>
    <hyperlink ref="A23" location="'Tab 5'!A1" display="Tab 5 – Azione 5: PUC e attività di volontariato presso ETS" xr:uid="{00000000-0004-0000-0000-000005000000}"/>
    <hyperlink ref="A19" location="'Tab 2.A - EEMM '!A1" display="Tab 2.A - Équipe Multidisciplinari " xr:uid="{00000000-0004-0000-0000-000006000000}"/>
    <hyperlink ref="A20" location="'Tab 2.B-PIS'!A1" display="Tab 2.A - Azione 2.B: Pronto intervento sociale" xr:uid="{00000000-0004-0000-0000-000007000000}"/>
    <hyperlink ref="A24" location="'Tab 6_Riepilogo'!A1" display="Tab 6 Riepilogo – Riepilogo programmazione risorse" xr:uid="{00000000-0004-0000-0000-000008000000}"/>
    <hyperlink ref="A25" location="'Note per la compilazione '!A1" display="Note per la compilazione" xr:uid="{00000000-0004-0000-0000-000009000000}"/>
  </hyperlinks>
  <pageMargins left="0.7" right="0.7" top="0.75" bottom="0.75" header="0.3" footer="0.3"/>
  <pageSetup paperSize="8" orientation="landscape" horizontalDpi="4294967292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0"/>
  <sheetViews>
    <sheetView tabSelected="1" zoomScale="115" zoomScaleNormal="115" workbookViewId="0">
      <selection activeCell="B26" sqref="B25:B26"/>
    </sheetView>
  </sheetViews>
  <sheetFormatPr defaultColWidth="8.5703125" defaultRowHeight="15" x14ac:dyDescent="0.25"/>
  <cols>
    <col min="1" max="1" width="57.5703125" customWidth="1"/>
    <col min="2" max="3" width="20.5703125" customWidth="1"/>
    <col min="4" max="4" width="20.5703125" style="59" customWidth="1"/>
    <col min="5" max="5" width="20.5703125" customWidth="1"/>
    <col min="6" max="6" width="20.5703125" style="59" customWidth="1"/>
    <col min="7" max="7" width="20.5703125" customWidth="1"/>
    <col min="8" max="8" width="17.140625" style="59" bestFit="1" customWidth="1"/>
    <col min="9" max="9" width="16.7109375" customWidth="1"/>
  </cols>
  <sheetData>
    <row r="1" spans="1:12" ht="31.5" x14ac:dyDescent="0.25">
      <c r="A1" s="36" t="s">
        <v>266</v>
      </c>
      <c r="B1" s="15" t="s">
        <v>105</v>
      </c>
    </row>
    <row r="2" spans="1:12" ht="43.5" customHeight="1" x14ac:dyDescent="0.25">
      <c r="A2" s="4" t="s">
        <v>106</v>
      </c>
      <c r="B2" s="25" t="s">
        <v>156</v>
      </c>
      <c r="C2" s="4" t="s">
        <v>107</v>
      </c>
    </row>
    <row r="3" spans="1:12" ht="30.75" customHeight="1" x14ac:dyDescent="0.25">
      <c r="A3" s="9" t="s">
        <v>108</v>
      </c>
      <c r="B3" s="28">
        <v>120993.17</v>
      </c>
      <c r="C3" s="29">
        <f t="shared" ref="C3:C10" si="0">$B3/$B$9</f>
        <v>0.3116999951593607</v>
      </c>
      <c r="D3" s="240" t="s">
        <v>109</v>
      </c>
    </row>
    <row r="4" spans="1:12" ht="29.25" customHeight="1" thickBot="1" x14ac:dyDescent="0.3">
      <c r="A4" s="9" t="s">
        <v>110</v>
      </c>
      <c r="B4" s="28">
        <v>186128.41</v>
      </c>
      <c r="C4" s="29">
        <f t="shared" si="0"/>
        <v>0.47949999571066287</v>
      </c>
      <c r="D4" s="240"/>
    </row>
    <row r="5" spans="1:12" ht="29.25" customHeight="1" thickBot="1" x14ac:dyDescent="0.3">
      <c r="A5" s="9" t="s">
        <v>128</v>
      </c>
      <c r="B5" s="28">
        <v>15410.42</v>
      </c>
      <c r="C5" s="29">
        <f t="shared" si="0"/>
        <v>3.9699991655758049E-2</v>
      </c>
      <c r="D5" s="240"/>
      <c r="E5" s="242" t="s">
        <v>142</v>
      </c>
      <c r="F5" s="243"/>
      <c r="G5" s="243"/>
      <c r="H5" s="243"/>
      <c r="I5" s="243"/>
      <c r="J5" s="243"/>
      <c r="K5" s="243"/>
      <c r="L5" s="244"/>
    </row>
    <row r="6" spans="1:12" ht="27.75" customHeight="1" x14ac:dyDescent="0.25">
      <c r="A6" s="9" t="s">
        <v>111</v>
      </c>
      <c r="B6" s="28">
        <v>59235.03</v>
      </c>
      <c r="C6" s="29">
        <f t="shared" si="0"/>
        <v>0.15260000679595867</v>
      </c>
      <c r="D6" s="240"/>
    </row>
    <row r="7" spans="1:12" ht="22.5" customHeight="1" x14ac:dyDescent="0.25">
      <c r="A7" s="9" t="s">
        <v>112</v>
      </c>
      <c r="B7" s="28">
        <v>0</v>
      </c>
      <c r="C7" s="29">
        <f t="shared" si="0"/>
        <v>0</v>
      </c>
      <c r="D7" s="240"/>
    </row>
    <row r="8" spans="1:12" ht="26.25" customHeight="1" x14ac:dyDescent="0.25">
      <c r="A8" s="9" t="s">
        <v>113</v>
      </c>
      <c r="B8" s="12">
        <v>6404.84</v>
      </c>
      <c r="C8" s="29">
        <f t="shared" si="0"/>
        <v>1.6500010678259604E-2</v>
      </c>
      <c r="D8" s="240"/>
    </row>
    <row r="9" spans="1:12" ht="27.75" customHeight="1" x14ac:dyDescent="0.25">
      <c r="A9" s="10" t="s">
        <v>114</v>
      </c>
      <c r="B9" s="11">
        <f>SUM(B3:B8)</f>
        <v>388171.87000000005</v>
      </c>
      <c r="C9" s="29">
        <f t="shared" si="0"/>
        <v>1</v>
      </c>
      <c r="D9" s="60"/>
    </row>
    <row r="10" spans="1:12" ht="27.75" customHeight="1" x14ac:dyDescent="0.25">
      <c r="A10" s="39" t="s">
        <v>115</v>
      </c>
      <c r="B10" s="168">
        <f>B9</f>
        <v>388171.87000000005</v>
      </c>
      <c r="C10" s="40">
        <f t="shared" si="0"/>
        <v>1</v>
      </c>
      <c r="D10" s="60"/>
    </row>
    <row r="11" spans="1:12" ht="30.6" customHeight="1" x14ac:dyDescent="0.25">
      <c r="A11" s="26" t="s">
        <v>116</v>
      </c>
      <c r="B11" s="100">
        <f>B10-B9</f>
        <v>0</v>
      </c>
      <c r="C11" s="101">
        <f>B11/$B$10</f>
        <v>0</v>
      </c>
      <c r="D11" s="60"/>
    </row>
    <row r="13" spans="1:12" ht="31.15" customHeight="1" x14ac:dyDescent="0.25">
      <c r="A13" s="245" t="s">
        <v>267</v>
      </c>
      <c r="B13" s="246"/>
      <c r="C13" s="246"/>
    </row>
    <row r="14" spans="1:12" ht="14.45" customHeight="1" x14ac:dyDescent="0.25">
      <c r="A14" s="241" t="s">
        <v>157</v>
      </c>
      <c r="B14" s="247" t="s">
        <v>139</v>
      </c>
      <c r="C14" s="248"/>
      <c r="D14" s="248"/>
      <c r="E14" s="248"/>
      <c r="F14" s="248"/>
      <c r="G14" s="248"/>
      <c r="H14" s="249"/>
    </row>
    <row r="15" spans="1:12" ht="22.15" customHeight="1" x14ac:dyDescent="0.25">
      <c r="A15" s="211"/>
      <c r="B15" s="47" t="s">
        <v>117</v>
      </c>
      <c r="C15" s="47" t="s">
        <v>118</v>
      </c>
      <c r="D15" s="61" t="s">
        <v>119</v>
      </c>
      <c r="E15" s="47" t="s">
        <v>133</v>
      </c>
      <c r="F15" s="61" t="s">
        <v>134</v>
      </c>
      <c r="G15" s="47" t="s">
        <v>129</v>
      </c>
      <c r="H15" s="61" t="s">
        <v>120</v>
      </c>
    </row>
    <row r="16" spans="1:12" x14ac:dyDescent="0.25">
      <c r="A16" s="48" t="s">
        <v>121</v>
      </c>
      <c r="B16" s="50">
        <f>109868.17+109868.17</f>
        <v>219736.34</v>
      </c>
      <c r="C16" s="50">
        <f>109868.17+109867.98</f>
        <v>219736.15</v>
      </c>
      <c r="D16" s="49">
        <f>+C16/B16</f>
        <v>0.99999913532736551</v>
      </c>
      <c r="E16" s="184">
        <f>109813.21+109867.98</f>
        <v>219681.19</v>
      </c>
      <c r="F16" s="185">
        <f>+E16/B16</f>
        <v>0.99974901739056909</v>
      </c>
      <c r="G16" s="184">
        <f>109813.21+109867.98</f>
        <v>219681.19</v>
      </c>
      <c r="H16" s="49">
        <f>+G16/B16</f>
        <v>0.99974901739056909</v>
      </c>
    </row>
    <row r="17" spans="1:9" x14ac:dyDescent="0.25">
      <c r="A17" s="48" t="s">
        <v>122</v>
      </c>
      <c r="B17" s="50">
        <v>277281</v>
      </c>
      <c r="C17" s="50">
        <f>B17</f>
        <v>277281</v>
      </c>
      <c r="D17" s="49">
        <f t="shared" ref="D17:D20" si="1">+C17/B17</f>
        <v>1</v>
      </c>
      <c r="E17" s="184">
        <v>277135.84000000003</v>
      </c>
      <c r="F17" s="185">
        <f t="shared" ref="F17:F20" si="2">+E17/B17</f>
        <v>0.99947648775069342</v>
      </c>
      <c r="G17" s="184">
        <v>277135.84000000003</v>
      </c>
      <c r="H17" s="49">
        <f t="shared" ref="H17:H20" si="3">+G17/B17</f>
        <v>0.99947648775069342</v>
      </c>
      <c r="I17" s="151"/>
    </row>
    <row r="18" spans="1:9" x14ac:dyDescent="0.25">
      <c r="A18" s="48" t="s">
        <v>123</v>
      </c>
      <c r="B18" s="50">
        <v>438218.55</v>
      </c>
      <c r="C18" s="50">
        <f>B18</f>
        <v>438218.55</v>
      </c>
      <c r="D18" s="49">
        <f t="shared" si="1"/>
        <v>1</v>
      </c>
      <c r="E18" s="184">
        <v>432891.42</v>
      </c>
      <c r="F18" s="185">
        <f t="shared" si="2"/>
        <v>0.98784366841613613</v>
      </c>
      <c r="G18" s="184">
        <v>432891.42</v>
      </c>
      <c r="H18" s="49">
        <f t="shared" si="3"/>
        <v>0.98784366841613613</v>
      </c>
      <c r="I18" s="151"/>
    </row>
    <row r="19" spans="1:9" x14ac:dyDescent="0.25">
      <c r="A19" s="48" t="s">
        <v>124</v>
      </c>
      <c r="B19" s="50">
        <v>473606.05</v>
      </c>
      <c r="C19" s="50">
        <f>B19</f>
        <v>473606.05</v>
      </c>
      <c r="D19" s="49">
        <f t="shared" si="1"/>
        <v>1</v>
      </c>
      <c r="E19" s="184">
        <v>255653.94</v>
      </c>
      <c r="F19" s="185">
        <f t="shared" si="2"/>
        <v>0.53980294381796856</v>
      </c>
      <c r="G19" s="184">
        <v>255653.94</v>
      </c>
      <c r="H19" s="49">
        <f t="shared" si="3"/>
        <v>0.53980294381796856</v>
      </c>
      <c r="I19" s="151"/>
    </row>
    <row r="20" spans="1:9" x14ac:dyDescent="0.25">
      <c r="A20" s="52" t="s">
        <v>52</v>
      </c>
      <c r="B20" s="50">
        <f>SUM(B16:B19)</f>
        <v>1408841.94</v>
      </c>
      <c r="C20" s="50">
        <f>SUM(C16:C19)</f>
        <v>1408841.75</v>
      </c>
      <c r="D20" s="49">
        <f t="shared" si="1"/>
        <v>0.99999986513746175</v>
      </c>
      <c r="E20" s="184">
        <f>SUM(E16:E19)</f>
        <v>1185362.3899999999</v>
      </c>
      <c r="F20" s="186">
        <f t="shared" si="2"/>
        <v>0.84137358233387061</v>
      </c>
      <c r="G20" s="184">
        <f>SUM(G16:G19)</f>
        <v>1185362.3899999999</v>
      </c>
      <c r="H20" s="49">
        <f t="shared" si="3"/>
        <v>0.84137358233387061</v>
      </c>
      <c r="I20" s="151"/>
    </row>
  </sheetData>
  <mergeCells count="5">
    <mergeCell ref="D3:D8"/>
    <mergeCell ref="A14:A15"/>
    <mergeCell ref="E5:L5"/>
    <mergeCell ref="A13:C13"/>
    <mergeCell ref="B14:H14"/>
  </mergeCells>
  <pageMargins left="0.7" right="0.7" top="0.75" bottom="0.75" header="0.3" footer="0.3"/>
  <pageSetup paperSize="8" scale="8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24"/>
  <sheetViews>
    <sheetView zoomScaleNormal="100" workbookViewId="0">
      <selection activeCell="A10" sqref="A10"/>
    </sheetView>
  </sheetViews>
  <sheetFormatPr defaultRowHeight="15" x14ac:dyDescent="0.25"/>
  <cols>
    <col min="1" max="1" width="44.42578125" customWidth="1"/>
    <col min="2" max="2" width="131.28515625" customWidth="1"/>
  </cols>
  <sheetData>
    <row r="1" spans="1:3" x14ac:dyDescent="0.25">
      <c r="A1" s="103" t="s">
        <v>240</v>
      </c>
    </row>
    <row r="3" spans="1:3" ht="15.75" thickBot="1" x14ac:dyDescent="0.3"/>
    <row r="4" spans="1:3" ht="15.75" thickBot="1" x14ac:dyDescent="0.3">
      <c r="A4" s="142" t="s">
        <v>245</v>
      </c>
      <c r="B4" s="170" t="s">
        <v>246</v>
      </c>
    </row>
    <row r="5" spans="1:3" ht="17.45" customHeight="1" x14ac:dyDescent="0.25">
      <c r="A5" s="253" t="s">
        <v>248</v>
      </c>
      <c r="B5" s="145" t="s">
        <v>247</v>
      </c>
    </row>
    <row r="6" spans="1:3" ht="17.45" customHeight="1" x14ac:dyDescent="0.25">
      <c r="A6" s="254"/>
      <c r="B6" s="144" t="s">
        <v>242</v>
      </c>
    </row>
    <row r="7" spans="1:3" ht="21" customHeight="1" thickBot="1" x14ac:dyDescent="0.3">
      <c r="A7" s="254"/>
      <c r="B7" s="149" t="s">
        <v>249</v>
      </c>
    </row>
    <row r="8" spans="1:3" ht="17.45" customHeight="1" x14ac:dyDescent="0.25">
      <c r="A8" s="257" t="s">
        <v>252</v>
      </c>
      <c r="B8" s="150" t="s">
        <v>250</v>
      </c>
    </row>
    <row r="9" spans="1:3" ht="18" customHeight="1" thickBot="1" x14ac:dyDescent="0.3">
      <c r="A9" s="258"/>
      <c r="B9" s="149" t="s">
        <v>251</v>
      </c>
    </row>
    <row r="10" spans="1:3" ht="31.15" customHeight="1" thickBot="1" x14ac:dyDescent="0.3">
      <c r="A10" s="157" t="s">
        <v>253</v>
      </c>
      <c r="B10" s="148" t="s">
        <v>255</v>
      </c>
    </row>
    <row r="11" spans="1:3" ht="23.45" customHeight="1" thickBot="1" x14ac:dyDescent="0.3">
      <c r="A11" s="153"/>
      <c r="B11" s="150" t="s">
        <v>254</v>
      </c>
    </row>
    <row r="12" spans="1:3" ht="19.149999999999999" customHeight="1" x14ac:dyDescent="0.25">
      <c r="A12" s="152" t="s">
        <v>256</v>
      </c>
      <c r="B12" s="154" t="s">
        <v>270</v>
      </c>
      <c r="C12" s="155"/>
    </row>
    <row r="13" spans="1:3" ht="19.149999999999999" customHeight="1" thickBot="1" x14ac:dyDescent="0.3">
      <c r="A13" s="156"/>
      <c r="B13" t="s">
        <v>257</v>
      </c>
      <c r="C13" s="155"/>
    </row>
    <row r="14" spans="1:3" x14ac:dyDescent="0.25">
      <c r="A14" s="252" t="s">
        <v>258</v>
      </c>
      <c r="B14" s="143" t="s">
        <v>259</v>
      </c>
    </row>
    <row r="15" spans="1:3" ht="15.75" thickBot="1" x14ac:dyDescent="0.3">
      <c r="A15" s="252"/>
      <c r="B15" s="144" t="s">
        <v>241</v>
      </c>
    </row>
    <row r="16" spans="1:3" x14ac:dyDescent="0.25">
      <c r="A16" s="259" t="s">
        <v>260</v>
      </c>
      <c r="B16" s="250" t="s">
        <v>243</v>
      </c>
    </row>
    <row r="17" spans="1:2" x14ac:dyDescent="0.25">
      <c r="A17" s="252"/>
      <c r="B17" s="251"/>
    </row>
    <row r="18" spans="1:2" ht="20.45" customHeight="1" thickBot="1" x14ac:dyDescent="0.3">
      <c r="A18" s="252"/>
      <c r="B18" s="147" t="s">
        <v>244</v>
      </c>
    </row>
    <row r="19" spans="1:2" x14ac:dyDescent="0.25">
      <c r="A19" s="255" t="s">
        <v>261</v>
      </c>
      <c r="B19" s="143" t="s">
        <v>262</v>
      </c>
    </row>
    <row r="20" spans="1:2" ht="15.75" thickBot="1" x14ac:dyDescent="0.3">
      <c r="A20" s="256"/>
      <c r="B20" s="146" t="s">
        <v>263</v>
      </c>
    </row>
    <row r="21" spans="1:2" x14ac:dyDescent="0.25">
      <c r="A21" s="256"/>
      <c r="B21" s="143" t="s">
        <v>264</v>
      </c>
    </row>
    <row r="22" spans="1:2" x14ac:dyDescent="0.25">
      <c r="A22" s="256"/>
      <c r="B22" s="144" t="s">
        <v>265</v>
      </c>
    </row>
    <row r="23" spans="1:2" x14ac:dyDescent="0.25">
      <c r="A23" s="220" t="s">
        <v>268</v>
      </c>
      <c r="B23" s="51" t="s">
        <v>269</v>
      </c>
    </row>
    <row r="24" spans="1:2" ht="30" x14ac:dyDescent="0.25">
      <c r="A24" s="220"/>
      <c r="B24" s="121" t="s">
        <v>281</v>
      </c>
    </row>
  </sheetData>
  <mergeCells count="7">
    <mergeCell ref="B16:B17"/>
    <mergeCell ref="A14:A15"/>
    <mergeCell ref="A5:A7"/>
    <mergeCell ref="A19:A22"/>
    <mergeCell ref="A23:A24"/>
    <mergeCell ref="A8:A9"/>
    <mergeCell ref="A16:A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A14"/>
  <sheetViews>
    <sheetView workbookViewId="0">
      <selection activeCell="E15" sqref="E15"/>
    </sheetView>
  </sheetViews>
  <sheetFormatPr defaultRowHeight="15" x14ac:dyDescent="0.25"/>
  <cols>
    <col min="1" max="1" width="18.28515625" customWidth="1"/>
  </cols>
  <sheetData>
    <row r="2" spans="1:1" x14ac:dyDescent="0.25">
      <c r="A2" s="126" t="s">
        <v>235</v>
      </c>
    </row>
    <row r="3" spans="1:1" x14ac:dyDescent="0.25">
      <c r="A3" t="s">
        <v>222</v>
      </c>
    </row>
    <row r="4" spans="1:1" x14ac:dyDescent="0.25">
      <c r="A4" t="s">
        <v>223</v>
      </c>
    </row>
    <row r="6" spans="1:1" x14ac:dyDescent="0.25">
      <c r="A6" s="126" t="s">
        <v>237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2" spans="1:1" x14ac:dyDescent="0.25">
      <c r="A12" s="126" t="s">
        <v>229</v>
      </c>
    </row>
    <row r="13" spans="1:1" x14ac:dyDescent="0.25">
      <c r="A13" t="s">
        <v>222</v>
      </c>
    </row>
    <row r="14" spans="1:1" x14ac:dyDescent="0.25">
      <c r="A1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0"/>
    <pageSetUpPr fitToPage="1"/>
  </sheetPr>
  <dimension ref="A1:B19"/>
  <sheetViews>
    <sheetView showGridLines="0" topLeftCell="A4" zoomScaleNormal="100" workbookViewId="0">
      <selection activeCell="D16" sqref="D16"/>
    </sheetView>
  </sheetViews>
  <sheetFormatPr defaultColWidth="8.5703125" defaultRowHeight="15" x14ac:dyDescent="0.25"/>
  <cols>
    <col min="1" max="1" width="80.5703125" customWidth="1"/>
    <col min="2" max="2" width="27.5703125" customWidth="1"/>
  </cols>
  <sheetData>
    <row r="1" spans="1:2" ht="30" customHeight="1" x14ac:dyDescent="0.25">
      <c r="A1" s="23" t="s">
        <v>10</v>
      </c>
    </row>
    <row r="2" spans="1:2" ht="47.25" customHeight="1" x14ac:dyDescent="0.25">
      <c r="A2" s="3" t="s">
        <v>11</v>
      </c>
      <c r="B2" s="171" t="s">
        <v>293</v>
      </c>
    </row>
    <row r="3" spans="1:2" ht="30" customHeight="1" x14ac:dyDescent="0.25">
      <c r="A3" s="37" t="s">
        <v>12</v>
      </c>
      <c r="B3" s="5">
        <f>168+106</f>
        <v>274</v>
      </c>
    </row>
    <row r="4" spans="1:2" ht="30" customHeight="1" x14ac:dyDescent="0.25">
      <c r="A4" s="37" t="s">
        <v>13</v>
      </c>
      <c r="B4" s="175">
        <f>130+103</f>
        <v>233</v>
      </c>
    </row>
    <row r="5" spans="1:2" ht="30" customHeight="1" x14ac:dyDescent="0.25">
      <c r="A5" s="37" t="s">
        <v>14</v>
      </c>
      <c r="B5" s="5">
        <f>139+103</f>
        <v>242</v>
      </c>
    </row>
    <row r="6" spans="1:2" ht="30" customHeight="1" x14ac:dyDescent="0.25">
      <c r="A6" s="37" t="s">
        <v>15</v>
      </c>
      <c r="B6" s="5">
        <f>130+67</f>
        <v>197</v>
      </c>
    </row>
    <row r="7" spans="1:2" ht="30" customHeight="1" x14ac:dyDescent="0.25">
      <c r="A7" s="37" t="s">
        <v>16</v>
      </c>
      <c r="B7" s="187">
        <f>B4/B3</f>
        <v>0.85036496350364965</v>
      </c>
    </row>
    <row r="8" spans="1:2" ht="30" customHeight="1" x14ac:dyDescent="0.25">
      <c r="A8" s="37" t="s">
        <v>17</v>
      </c>
      <c r="B8" s="187">
        <f>B5/B3</f>
        <v>0.88321167883211682</v>
      </c>
    </row>
    <row r="9" spans="1:2" ht="30" customHeight="1" x14ac:dyDescent="0.25">
      <c r="A9" s="37" t="s">
        <v>18</v>
      </c>
      <c r="B9" s="187">
        <f>B6/B3</f>
        <v>0.71897810218978098</v>
      </c>
    </row>
    <row r="10" spans="1:2" ht="30" customHeight="1" x14ac:dyDescent="0.25">
      <c r="A10" s="92" t="s">
        <v>19</v>
      </c>
      <c r="B10" s="187">
        <f>B6/B3</f>
        <v>0.71897810218978098</v>
      </c>
    </row>
    <row r="11" spans="1:2" ht="30" customHeight="1" x14ac:dyDescent="0.25">
      <c r="A11" s="37" t="s">
        <v>125</v>
      </c>
      <c r="B11" s="5">
        <f>168+106</f>
        <v>274</v>
      </c>
    </row>
    <row r="12" spans="1:2" ht="30" customHeight="1" x14ac:dyDescent="0.25">
      <c r="A12" s="37" t="s">
        <v>20</v>
      </c>
      <c r="B12" s="5">
        <v>0</v>
      </c>
    </row>
    <row r="13" spans="1:2" ht="30" customHeight="1" x14ac:dyDescent="0.25">
      <c r="A13" s="37" t="s">
        <v>21</v>
      </c>
      <c r="B13" s="5">
        <v>0</v>
      </c>
    </row>
    <row r="14" spans="1:2" ht="30" customHeight="1" x14ac:dyDescent="0.25">
      <c r="A14" s="37" t="s">
        <v>22</v>
      </c>
      <c r="B14" s="6"/>
    </row>
    <row r="15" spans="1:2" ht="30" customHeight="1" x14ac:dyDescent="0.25">
      <c r="A15" s="93" t="s">
        <v>23</v>
      </c>
      <c r="B15" s="5">
        <v>0</v>
      </c>
    </row>
    <row r="16" spans="1:2" ht="30" customHeight="1" x14ac:dyDescent="0.25">
      <c r="A16" s="93" t="s">
        <v>24</v>
      </c>
      <c r="B16" s="5">
        <v>0</v>
      </c>
    </row>
    <row r="17" spans="1:2" ht="30" customHeight="1" x14ac:dyDescent="0.25">
      <c r="A17" s="93" t="s">
        <v>25</v>
      </c>
      <c r="B17" s="5">
        <v>0</v>
      </c>
    </row>
    <row r="18" spans="1:2" ht="30" customHeight="1" x14ac:dyDescent="0.25">
      <c r="A18" s="37" t="s">
        <v>26</v>
      </c>
      <c r="B18" s="5">
        <v>0</v>
      </c>
    </row>
    <row r="19" spans="1:2" ht="30" customHeight="1" x14ac:dyDescent="0.25">
      <c r="A19" s="37" t="s">
        <v>126</v>
      </c>
      <c r="B19" s="5">
        <v>0</v>
      </c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showGridLines="0" zoomScaleNormal="100" workbookViewId="0">
      <selection activeCell="D16" sqref="D16:J16"/>
    </sheetView>
  </sheetViews>
  <sheetFormatPr defaultColWidth="8.5703125" defaultRowHeight="15" x14ac:dyDescent="0.25"/>
  <cols>
    <col min="1" max="12" width="20.5703125" customWidth="1"/>
    <col min="13" max="13" width="25.28515625" bestFit="1" customWidth="1"/>
    <col min="14" max="14" width="5.28515625" customWidth="1"/>
  </cols>
  <sheetData>
    <row r="1" spans="1:14" ht="18.75" x14ac:dyDescent="0.3">
      <c r="A1" s="21" t="s">
        <v>27</v>
      </c>
    </row>
    <row r="3" spans="1:14" ht="24.75" customHeight="1" x14ac:dyDescent="0.25">
      <c r="A3" s="22" t="s">
        <v>28</v>
      </c>
    </row>
    <row r="4" spans="1:14" ht="15.75" customHeight="1" x14ac:dyDescent="0.25">
      <c r="A4" s="197" t="s">
        <v>29</v>
      </c>
      <c r="B4" s="204" t="s">
        <v>30</v>
      </c>
      <c r="C4" s="205"/>
      <c r="D4" s="205"/>
      <c r="E4" s="205"/>
      <c r="F4" s="205"/>
      <c r="G4" s="205"/>
      <c r="H4" s="205"/>
      <c r="I4" s="205"/>
      <c r="J4" s="205"/>
      <c r="K4" s="17"/>
      <c r="L4" s="17"/>
      <c r="N4" s="169"/>
    </row>
    <row r="5" spans="1:14" ht="24" customHeight="1" x14ac:dyDescent="0.25">
      <c r="A5" s="197"/>
      <c r="B5" s="197" t="s">
        <v>31</v>
      </c>
      <c r="C5" s="197" t="s">
        <v>32</v>
      </c>
      <c r="D5" s="197" t="s">
        <v>33</v>
      </c>
      <c r="E5" s="197" t="s">
        <v>34</v>
      </c>
      <c r="F5" s="197" t="s">
        <v>138</v>
      </c>
      <c r="G5" s="197" t="s">
        <v>35</v>
      </c>
      <c r="H5" s="202" t="s">
        <v>36</v>
      </c>
      <c r="I5" s="202" t="s">
        <v>37</v>
      </c>
      <c r="J5" s="202" t="s">
        <v>38</v>
      </c>
      <c r="K5" s="202" t="s">
        <v>39</v>
      </c>
      <c r="L5" s="202" t="s">
        <v>132</v>
      </c>
      <c r="M5" s="169"/>
    </row>
    <row r="6" spans="1:14" ht="56.1" customHeight="1" x14ac:dyDescent="0.25">
      <c r="A6" s="197"/>
      <c r="B6" s="197"/>
      <c r="C6" s="197"/>
      <c r="D6" s="197"/>
      <c r="E6" s="197"/>
      <c r="F6" s="197"/>
      <c r="G6" s="197"/>
      <c r="H6" s="203"/>
      <c r="I6" s="203"/>
      <c r="J6" s="203"/>
      <c r="K6" s="203"/>
      <c r="L6" s="203"/>
      <c r="M6" s="169"/>
    </row>
    <row r="7" spans="1:14" ht="32.450000000000003" customHeight="1" x14ac:dyDescent="0.25">
      <c r="A7" s="18" t="s">
        <v>40</v>
      </c>
      <c r="B7" s="75">
        <f>12+11.59</f>
        <v>23.59</v>
      </c>
      <c r="C7" s="75">
        <v>3</v>
      </c>
      <c r="D7" s="75">
        <v>0</v>
      </c>
      <c r="E7" s="75">
        <v>0</v>
      </c>
      <c r="F7" s="75">
        <v>0</v>
      </c>
      <c r="G7" s="76">
        <f>SUM(B7:F7)</f>
        <v>26.59</v>
      </c>
      <c r="H7" s="75">
        <f>10261.98/24.26/52/36+0.23</f>
        <v>0.45596153846153842</v>
      </c>
      <c r="I7" s="75">
        <f>(110000/24.26/52/36)+0.52</f>
        <v>2.9421221665574508</v>
      </c>
      <c r="J7" s="75">
        <f>(108474.24/24.26/52/36)+2.74</f>
        <v>5.1285260109497539</v>
      </c>
      <c r="K7" s="75">
        <f>(221259.79/24.26/52/36)+3.8</f>
        <v>8.6719840175167864</v>
      </c>
      <c r="L7" s="19">
        <f>+Sommario!B10/'Tab 1'!G7</f>
        <v>3087.6645355396768</v>
      </c>
      <c r="M7" s="169"/>
    </row>
    <row r="8" spans="1:14" ht="31.5" x14ac:dyDescent="0.25">
      <c r="A8" s="18" t="s">
        <v>41</v>
      </c>
      <c r="B8" s="75">
        <f>13+11.47</f>
        <v>24.47</v>
      </c>
      <c r="C8" s="75">
        <v>3</v>
      </c>
      <c r="D8" s="75">
        <v>0</v>
      </c>
      <c r="E8" s="75">
        <v>0</v>
      </c>
      <c r="F8" s="75">
        <v>0</v>
      </c>
      <c r="G8" s="76">
        <f>SUM(B8:F8)</f>
        <v>27.47</v>
      </c>
      <c r="H8" s="18">
        <v>0</v>
      </c>
      <c r="I8" s="75">
        <f>(108218.57/24.26/52/36)+0.52</f>
        <v>2.9028963384559017</v>
      </c>
      <c r="J8" s="75">
        <f>(117429.72/24.26/52/36)+2.74</f>
        <v>5.3257193438603174</v>
      </c>
      <c r="K8" s="75">
        <f>(255561.48/24.26/52/36)+4.4</f>
        <v>10.027282960238443</v>
      </c>
      <c r="L8" s="19">
        <f>+Sommario!B10/'Tab 1'!G8</f>
        <v>2988.7513651255917</v>
      </c>
      <c r="M8" s="169"/>
    </row>
    <row r="9" spans="1:14" ht="39.6" customHeight="1" x14ac:dyDescent="0.25">
      <c r="A9" s="18" t="s">
        <v>42</v>
      </c>
      <c r="B9" s="75">
        <f>13+11.76</f>
        <v>24.759999999999998</v>
      </c>
      <c r="C9" s="75">
        <v>3</v>
      </c>
      <c r="D9" s="75">
        <v>0</v>
      </c>
      <c r="E9" s="75">
        <v>0</v>
      </c>
      <c r="F9" s="75">
        <v>0</v>
      </c>
      <c r="G9" s="76">
        <f>SUM(B9:F9)</f>
        <v>27.759999999999998</v>
      </c>
      <c r="H9" s="18">
        <f>H8</f>
        <v>0</v>
      </c>
      <c r="I9" s="75">
        <f>2.38+0.52</f>
        <v>2.9</v>
      </c>
      <c r="J9" s="75">
        <f>2.59+2.74</f>
        <v>5.33</v>
      </c>
      <c r="K9" s="75">
        <f>5.63+4.4</f>
        <v>10.030000000000001</v>
      </c>
      <c r="L9" s="19">
        <f>+Sommario!B10/'Tab 1'!G9</f>
        <v>2957.5288184438041</v>
      </c>
      <c r="M9" s="169"/>
    </row>
    <row r="10" spans="1:14" ht="14.25" customHeight="1" x14ac:dyDescent="0.25">
      <c r="A10" s="201" t="s">
        <v>43</v>
      </c>
      <c r="B10" s="201"/>
      <c r="C10" s="201"/>
      <c r="D10" s="201"/>
      <c r="E10" s="201"/>
      <c r="F10" s="201"/>
      <c r="G10" s="201"/>
      <c r="H10" s="201"/>
      <c r="I10" s="201"/>
      <c r="J10" s="201"/>
      <c r="K10" s="7"/>
      <c r="L10" s="7"/>
      <c r="M10" s="7"/>
    </row>
    <row r="11" spans="1:14" ht="14.25" customHeight="1" x14ac:dyDescent="0.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7"/>
      <c r="L11" s="7"/>
      <c r="M11" s="7"/>
    </row>
    <row r="12" spans="1:14" ht="15.75" x14ac:dyDescent="0.25">
      <c r="A12" s="123"/>
    </row>
    <row r="13" spans="1:14" ht="15.75" x14ac:dyDescent="0.25">
      <c r="A13" s="123"/>
    </row>
    <row r="14" spans="1:14" ht="18.75" x14ac:dyDescent="0.25">
      <c r="A14" s="22" t="s">
        <v>44</v>
      </c>
    </row>
    <row r="15" spans="1:14" ht="15.75" x14ac:dyDescent="0.25">
      <c r="A15" s="199" t="s">
        <v>45</v>
      </c>
      <c r="B15" s="199"/>
      <c r="C15" s="118" t="s">
        <v>46</v>
      </c>
    </row>
    <row r="16" spans="1:14" ht="19.899999999999999" customHeight="1" x14ac:dyDescent="0.25">
      <c r="A16" s="200" t="s">
        <v>47</v>
      </c>
      <c r="B16" s="200"/>
      <c r="C16" s="119">
        <f>108218.57+12774.6</f>
        <v>120993.17000000001</v>
      </c>
      <c r="D16" s="195"/>
      <c r="E16" s="196"/>
      <c r="F16" s="196"/>
      <c r="G16" s="196"/>
      <c r="H16" s="196"/>
      <c r="I16" s="196"/>
      <c r="J16" s="196"/>
    </row>
    <row r="17" spans="1:3" ht="19.899999999999999" customHeight="1" x14ac:dyDescent="0.25">
      <c r="A17" s="200" t="s">
        <v>48</v>
      </c>
      <c r="B17" s="200"/>
      <c r="C17" s="119"/>
    </row>
    <row r="18" spans="1:3" ht="19.899999999999999" customHeight="1" x14ac:dyDescent="0.25">
      <c r="A18" s="200" t="s">
        <v>49</v>
      </c>
      <c r="B18" s="200"/>
      <c r="C18" s="119"/>
    </row>
    <row r="19" spans="1:3" ht="19.899999999999999" customHeight="1" x14ac:dyDescent="0.25">
      <c r="A19" s="200" t="s">
        <v>50</v>
      </c>
      <c r="B19" s="200"/>
      <c r="C19" s="119"/>
    </row>
    <row r="20" spans="1:3" ht="19.899999999999999" customHeight="1" x14ac:dyDescent="0.25">
      <c r="A20" s="200" t="s">
        <v>51</v>
      </c>
      <c r="B20" s="200"/>
      <c r="C20" s="119"/>
    </row>
    <row r="21" spans="1:3" ht="19.899999999999999" customHeight="1" x14ac:dyDescent="0.25">
      <c r="A21" s="198" t="s">
        <v>52</v>
      </c>
      <c r="B21" s="198"/>
      <c r="C21" s="120">
        <f>SUM(C16:C20)</f>
        <v>120993.17000000001</v>
      </c>
    </row>
    <row r="22" spans="1:3" x14ac:dyDescent="0.25">
      <c r="A22" s="2"/>
    </row>
  </sheetData>
  <mergeCells count="22">
    <mergeCell ref="L5:L6"/>
    <mergeCell ref="K5:K6"/>
    <mergeCell ref="D5:D6"/>
    <mergeCell ref="A4:A6"/>
    <mergeCell ref="H5:H6"/>
    <mergeCell ref="B5:B6"/>
    <mergeCell ref="B4:J4"/>
    <mergeCell ref="E5:E6"/>
    <mergeCell ref="I5:I6"/>
    <mergeCell ref="F5:F6"/>
    <mergeCell ref="D16:J16"/>
    <mergeCell ref="C5:C6"/>
    <mergeCell ref="A21:B21"/>
    <mergeCell ref="A15:B15"/>
    <mergeCell ref="A16:B16"/>
    <mergeCell ref="A17:B17"/>
    <mergeCell ref="A18:B18"/>
    <mergeCell ref="A20:B20"/>
    <mergeCell ref="A19:B19"/>
    <mergeCell ref="A10:J10"/>
    <mergeCell ref="G5:G6"/>
    <mergeCell ref="J5:J6"/>
  </mergeCells>
  <phoneticPr fontId="2" type="noConversion"/>
  <hyperlinks>
    <hyperlink ref="B4" location="_ftn1" display="_ftn1" xr:uid="{00000000-0004-0000-0200-000000000000}"/>
  </hyperlinks>
  <pageMargins left="0.7" right="0.7" top="0.75" bottom="0.75" header="0.3" footer="0.3"/>
  <pageSetup paperSize="8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F21"/>
  <sheetViews>
    <sheetView showGridLines="0" zoomScaleNormal="100" workbookViewId="0">
      <selection activeCell="B9" sqref="B9"/>
    </sheetView>
  </sheetViews>
  <sheetFormatPr defaultColWidth="8.5703125" defaultRowHeight="15" x14ac:dyDescent="0.25"/>
  <cols>
    <col min="1" max="1" width="56.7109375" customWidth="1"/>
    <col min="2" max="2" width="36.28515625" bestFit="1" customWidth="1"/>
    <col min="3" max="3" width="36.42578125" bestFit="1" customWidth="1"/>
    <col min="4" max="4" width="31.5703125" customWidth="1"/>
    <col min="5" max="5" width="15" customWidth="1"/>
    <col min="6" max="6" width="14.5703125" customWidth="1"/>
  </cols>
  <sheetData>
    <row r="1" spans="1:6" ht="18.75" x14ac:dyDescent="0.3">
      <c r="A1" s="21" t="s">
        <v>53</v>
      </c>
    </row>
    <row r="2" spans="1:6" ht="18.75" x14ac:dyDescent="0.25">
      <c r="B2" s="8"/>
    </row>
    <row r="3" spans="1:6" ht="18.75" x14ac:dyDescent="0.25">
      <c r="A3" s="22" t="s">
        <v>54</v>
      </c>
    </row>
    <row r="4" spans="1:6" ht="46.9" customHeight="1" x14ac:dyDescent="0.25">
      <c r="A4" s="64" t="s">
        <v>55</v>
      </c>
      <c r="B4" s="64" t="s">
        <v>56</v>
      </c>
      <c r="C4" s="91" t="s">
        <v>149</v>
      </c>
      <c r="D4" s="94" t="s">
        <v>57</v>
      </c>
      <c r="E4" s="64" t="s">
        <v>107</v>
      </c>
    </row>
    <row r="5" spans="1:6" ht="30" customHeight="1" x14ac:dyDescent="0.25">
      <c r="A5" s="32" t="s">
        <v>58</v>
      </c>
      <c r="B5" s="38">
        <v>10</v>
      </c>
      <c r="C5" s="34" t="s">
        <v>294</v>
      </c>
      <c r="D5" s="95">
        <v>20000</v>
      </c>
      <c r="E5" s="98">
        <f>D5/$D$11</f>
        <v>0.10442359221334159</v>
      </c>
      <c r="F5" s="1"/>
    </row>
    <row r="6" spans="1:6" ht="30" customHeight="1" x14ac:dyDescent="0.25">
      <c r="A6" s="32" t="s">
        <v>218</v>
      </c>
      <c r="B6" s="188">
        <f>12+8</f>
        <v>20</v>
      </c>
      <c r="C6" s="34" t="s">
        <v>295</v>
      </c>
      <c r="D6" s="95">
        <f>64091.12+39744</f>
        <v>103835.12</v>
      </c>
      <c r="E6" s="98">
        <f t="shared" ref="E6:E10" si="0">D6/$D$11</f>
        <v>0.54214181141516948</v>
      </c>
    </row>
    <row r="7" spans="1:6" ht="30" customHeight="1" x14ac:dyDescent="0.25">
      <c r="A7" s="32" t="s">
        <v>59</v>
      </c>
      <c r="B7" s="188"/>
      <c r="C7" s="34"/>
      <c r="D7" s="95">
        <v>0</v>
      </c>
      <c r="E7" s="98">
        <f t="shared" si="0"/>
        <v>0</v>
      </c>
    </row>
    <row r="8" spans="1:6" ht="37.9" customHeight="1" x14ac:dyDescent="0.25">
      <c r="A8" s="32" t="s">
        <v>60</v>
      </c>
      <c r="B8" s="188"/>
      <c r="C8" s="34"/>
      <c r="D8" s="95">
        <v>0</v>
      </c>
      <c r="E8" s="98">
        <f t="shared" si="0"/>
        <v>0</v>
      </c>
    </row>
    <row r="9" spans="1:6" ht="30" customHeight="1" x14ac:dyDescent="0.25">
      <c r="A9" s="32" t="s">
        <v>61</v>
      </c>
      <c r="B9" s="188">
        <v>30</v>
      </c>
      <c r="C9" s="34" t="s">
        <v>309</v>
      </c>
      <c r="D9" s="95">
        <v>4732.5600000000004</v>
      </c>
      <c r="E9" s="98">
        <f t="shared" si="0"/>
        <v>2.4709545778258596E-2</v>
      </c>
      <c r="F9" s="1"/>
    </row>
    <row r="10" spans="1:6" ht="30" customHeight="1" x14ac:dyDescent="0.25">
      <c r="A10" s="32" t="s">
        <v>62</v>
      </c>
      <c r="B10" s="38">
        <v>18</v>
      </c>
      <c r="C10" s="34" t="s">
        <v>294</v>
      </c>
      <c r="D10" s="95">
        <v>62959.92</v>
      </c>
      <c r="E10" s="98">
        <f t="shared" si="0"/>
        <v>0.32872505059323048</v>
      </c>
      <c r="F10" s="1"/>
    </row>
    <row r="11" spans="1:6" ht="30" customHeight="1" x14ac:dyDescent="0.25">
      <c r="A11" s="33"/>
      <c r="B11" s="33"/>
      <c r="C11" s="46" t="s">
        <v>52</v>
      </c>
      <c r="D11" s="96">
        <f>SUM(D5:D10)</f>
        <v>191527.59999999998</v>
      </c>
      <c r="E11" s="97">
        <f>SUM(E5:E10)</f>
        <v>1.0000000000000002</v>
      </c>
      <c r="F11" s="1"/>
    </row>
    <row r="12" spans="1:6" ht="46.35" customHeight="1" x14ac:dyDescent="0.25">
      <c r="A12" s="206" t="s">
        <v>63</v>
      </c>
      <c r="B12" s="206"/>
      <c r="C12" s="206"/>
      <c r="D12" s="206"/>
    </row>
    <row r="13" spans="1:6" x14ac:dyDescent="0.25">
      <c r="A13" s="206" t="s">
        <v>141</v>
      </c>
      <c r="B13" s="206"/>
      <c r="C13" s="206"/>
      <c r="D13" s="206"/>
    </row>
    <row r="14" spans="1:6" ht="15.75" x14ac:dyDescent="0.25">
      <c r="A14" s="13"/>
      <c r="B14" s="13"/>
      <c r="C14" s="13"/>
      <c r="D14" s="13"/>
      <c r="E14" s="13"/>
      <c r="F14" s="13"/>
    </row>
    <row r="15" spans="1:6" ht="18.75" x14ac:dyDescent="0.25">
      <c r="A15" s="22"/>
      <c r="B15" s="13"/>
      <c r="C15" s="13"/>
      <c r="D15" s="13"/>
      <c r="E15" s="13"/>
      <c r="F15" s="13"/>
    </row>
    <row r="16" spans="1:6" ht="15.75" x14ac:dyDescent="0.25">
      <c r="A16" s="13"/>
      <c r="B16" s="13"/>
      <c r="C16" s="13"/>
      <c r="D16" s="13"/>
      <c r="E16" s="13"/>
      <c r="F16" s="13"/>
    </row>
    <row r="17" spans="1:6" ht="15.75" x14ac:dyDescent="0.25">
      <c r="A17" s="13"/>
      <c r="B17" s="13"/>
      <c r="C17" s="13"/>
      <c r="D17" s="13"/>
      <c r="E17" s="13"/>
      <c r="F17" s="13"/>
    </row>
    <row r="18" spans="1:6" ht="15.75" x14ac:dyDescent="0.25">
      <c r="A18" s="13"/>
      <c r="B18" s="13"/>
      <c r="C18" s="13"/>
      <c r="D18" s="13"/>
      <c r="E18" s="13"/>
      <c r="F18" s="13"/>
    </row>
    <row r="19" spans="1:6" ht="15.75" x14ac:dyDescent="0.25">
      <c r="A19" s="13"/>
      <c r="B19" s="13"/>
      <c r="C19" s="13"/>
      <c r="D19" s="13"/>
      <c r="E19" s="13"/>
      <c r="F19" s="13"/>
    </row>
    <row r="20" spans="1:6" ht="15.75" x14ac:dyDescent="0.25">
      <c r="A20" s="13"/>
      <c r="B20" s="13"/>
      <c r="C20" s="13"/>
      <c r="D20" s="13"/>
      <c r="E20" s="13"/>
      <c r="F20" s="13"/>
    </row>
    <row r="21" spans="1:6" ht="15.75" x14ac:dyDescent="0.25">
      <c r="A21" s="13"/>
      <c r="B21" s="13"/>
      <c r="C21" s="13"/>
      <c r="D21" s="13"/>
      <c r="E21" s="13"/>
      <c r="F21" s="13"/>
    </row>
  </sheetData>
  <mergeCells count="2">
    <mergeCell ref="A12:D12"/>
    <mergeCell ref="A13:D13"/>
  </mergeCells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45"/>
  <sheetViews>
    <sheetView topLeftCell="A37" zoomScaleNormal="100" workbookViewId="0">
      <selection activeCell="A45" sqref="A45"/>
    </sheetView>
  </sheetViews>
  <sheetFormatPr defaultRowHeight="15" x14ac:dyDescent="0.25"/>
  <cols>
    <col min="1" max="1" width="42.5703125" customWidth="1"/>
    <col min="2" max="2" width="23.7109375" customWidth="1"/>
    <col min="3" max="3" width="20.140625" customWidth="1"/>
    <col min="4" max="4" width="14.28515625" customWidth="1"/>
    <col min="5" max="5" width="13.85546875" customWidth="1"/>
  </cols>
  <sheetData>
    <row r="1" spans="1:10" ht="18.75" x14ac:dyDescent="0.3">
      <c r="A1" s="21" t="s">
        <v>236</v>
      </c>
    </row>
    <row r="2" spans="1:10" x14ac:dyDescent="0.25">
      <c r="A2" s="103"/>
    </row>
    <row r="3" spans="1:10" ht="15.75" x14ac:dyDescent="0.25">
      <c r="A3" s="128" t="s">
        <v>230</v>
      </c>
    </row>
    <row r="4" spans="1:10" x14ac:dyDescent="0.25">
      <c r="A4" s="104"/>
      <c r="B4" s="104" t="s">
        <v>195</v>
      </c>
      <c r="C4" s="105" t="s">
        <v>196</v>
      </c>
    </row>
    <row r="5" spans="1:10" ht="24" customHeight="1" x14ac:dyDescent="0.25">
      <c r="A5" s="99" t="s">
        <v>194</v>
      </c>
      <c r="B5" s="179">
        <v>3</v>
      </c>
      <c r="C5" s="179">
        <v>3</v>
      </c>
      <c r="D5" s="178"/>
    </row>
    <row r="6" spans="1:10" ht="25.15" customHeight="1" x14ac:dyDescent="0.25">
      <c r="A6" s="99" t="s">
        <v>197</v>
      </c>
      <c r="B6" s="180"/>
      <c r="C6" s="180"/>
      <c r="D6" t="s">
        <v>221</v>
      </c>
    </row>
    <row r="7" spans="1:10" x14ac:dyDescent="0.25">
      <c r="A7" s="103"/>
    </row>
    <row r="8" spans="1:10" ht="15.75" x14ac:dyDescent="0.25">
      <c r="A8" s="128" t="s">
        <v>231</v>
      </c>
    </row>
    <row r="9" spans="1:10" x14ac:dyDescent="0.25">
      <c r="A9" s="210" t="s">
        <v>160</v>
      </c>
      <c r="B9" s="212" t="s">
        <v>161</v>
      </c>
      <c r="C9" s="212"/>
      <c r="D9" s="212"/>
      <c r="E9" s="212"/>
      <c r="F9" s="212"/>
    </row>
    <row r="10" spans="1:10" x14ac:dyDescent="0.25">
      <c r="A10" s="211"/>
      <c r="B10" s="104" t="s">
        <v>162</v>
      </c>
      <c r="C10" s="105" t="s">
        <v>163</v>
      </c>
      <c r="D10" s="105" t="s">
        <v>164</v>
      </c>
      <c r="E10" s="105" t="s">
        <v>165</v>
      </c>
      <c r="F10" s="105" t="s">
        <v>166</v>
      </c>
    </row>
    <row r="11" spans="1:10" x14ac:dyDescent="0.25">
      <c r="A11" s="99" t="s">
        <v>167</v>
      </c>
      <c r="B11" s="106">
        <v>1</v>
      </c>
      <c r="C11" s="106"/>
      <c r="D11" s="106"/>
      <c r="E11" s="107"/>
      <c r="F11" s="107"/>
    </row>
    <row r="12" spans="1:10" ht="36" customHeight="1" x14ac:dyDescent="0.25">
      <c r="A12" s="99" t="s">
        <v>168</v>
      </c>
      <c r="B12" s="106">
        <f>12+5</f>
        <v>17</v>
      </c>
      <c r="C12" s="106"/>
      <c r="D12" s="106"/>
      <c r="E12" s="106"/>
      <c r="F12" s="107"/>
      <c r="H12" s="178"/>
      <c r="I12" s="178"/>
      <c r="J12" s="178"/>
    </row>
    <row r="13" spans="1:10" ht="28.9" customHeight="1" x14ac:dyDescent="0.25">
      <c r="A13" s="99" t="s">
        <v>169</v>
      </c>
      <c r="B13" s="106">
        <f>3+3</f>
        <v>6</v>
      </c>
      <c r="C13" s="106"/>
      <c r="D13" s="106"/>
      <c r="E13" s="106"/>
      <c r="F13" s="106"/>
    </row>
    <row r="14" spans="1:10" ht="22.9" customHeight="1" x14ac:dyDescent="0.25">
      <c r="A14" s="99" t="s">
        <v>170</v>
      </c>
      <c r="B14" s="107"/>
      <c r="C14" s="106"/>
      <c r="D14" s="106"/>
      <c r="E14" s="107"/>
      <c r="F14" s="106"/>
    </row>
    <row r="15" spans="1:10" ht="61.9" customHeight="1" x14ac:dyDescent="0.25">
      <c r="A15" s="124" t="s">
        <v>171</v>
      </c>
      <c r="B15" s="107">
        <v>1</v>
      </c>
      <c r="C15" s="106"/>
      <c r="D15" s="106"/>
      <c r="E15" s="107"/>
      <c r="F15" s="107"/>
    </row>
    <row r="16" spans="1:10" ht="47.45" customHeight="1" x14ac:dyDescent="0.25">
      <c r="A16" s="99" t="s">
        <v>172</v>
      </c>
      <c r="B16" s="107"/>
      <c r="C16" s="106">
        <f>1+2</f>
        <v>3</v>
      </c>
      <c r="D16" s="106"/>
      <c r="E16" s="107"/>
      <c r="F16" s="107"/>
    </row>
    <row r="17" spans="1:6" ht="18" customHeight="1" x14ac:dyDescent="0.25">
      <c r="A17" s="99" t="s">
        <v>173</v>
      </c>
      <c r="B17" s="107"/>
      <c r="C17" s="106">
        <v>1</v>
      </c>
      <c r="D17" s="106"/>
      <c r="E17" s="107"/>
      <c r="F17" s="106"/>
    </row>
    <row r="18" spans="1:6" x14ac:dyDescent="0.25">
      <c r="A18" s="99" t="s">
        <v>174</v>
      </c>
      <c r="B18" s="107"/>
      <c r="C18" s="107"/>
      <c r="D18" s="106"/>
      <c r="E18" s="106"/>
      <c r="F18" s="106"/>
    </row>
    <row r="19" spans="1:6" ht="60" customHeight="1" x14ac:dyDescent="0.25">
      <c r="A19" s="124" t="s">
        <v>175</v>
      </c>
      <c r="B19" s="107"/>
      <c r="D19" s="107">
        <f>2+4</f>
        <v>6</v>
      </c>
      <c r="E19" s="107"/>
      <c r="F19" s="107"/>
    </row>
    <row r="20" spans="1:6" ht="15.6" customHeight="1" x14ac:dyDescent="0.25">
      <c r="A20" s="99" t="s">
        <v>176</v>
      </c>
      <c r="B20" s="107"/>
      <c r="C20" s="107"/>
      <c r="D20" s="106"/>
      <c r="E20" s="107"/>
      <c r="F20" s="106"/>
    </row>
    <row r="21" spans="1:6" ht="30" customHeight="1" x14ac:dyDescent="0.25">
      <c r="A21" s="99" t="s">
        <v>177</v>
      </c>
      <c r="B21" s="106"/>
      <c r="C21" s="107"/>
      <c r="D21" s="106"/>
      <c r="E21" s="106">
        <v>1</v>
      </c>
      <c r="F21" s="107" t="s">
        <v>296</v>
      </c>
    </row>
    <row r="22" spans="1:6" ht="47.45" customHeight="1" x14ac:dyDescent="0.25">
      <c r="A22" s="124" t="s">
        <v>178</v>
      </c>
      <c r="B22" s="107"/>
      <c r="C22" s="107"/>
      <c r="D22" s="106"/>
      <c r="E22" s="107"/>
      <c r="F22" s="106"/>
    </row>
    <row r="25" spans="1:6" ht="15.75" x14ac:dyDescent="0.25">
      <c r="A25" s="128" t="s">
        <v>232</v>
      </c>
    </row>
    <row r="26" spans="1:6" ht="30" x14ac:dyDescent="0.25">
      <c r="A26" s="108"/>
      <c r="B26" s="109" t="s">
        <v>179</v>
      </c>
      <c r="C26" s="110" t="s">
        <v>180</v>
      </c>
    </row>
    <row r="27" spans="1:6" x14ac:dyDescent="0.25">
      <c r="A27" s="108" t="s">
        <v>321</v>
      </c>
      <c r="B27" s="111" t="s">
        <v>223</v>
      </c>
      <c r="C27" s="51"/>
    </row>
    <row r="28" spans="1:6" ht="30" x14ac:dyDescent="0.25">
      <c r="A28" s="108" t="s">
        <v>181</v>
      </c>
      <c r="B28" s="111" t="s">
        <v>222</v>
      </c>
      <c r="C28" s="172" t="s">
        <v>285</v>
      </c>
    </row>
    <row r="29" spans="1:6" x14ac:dyDescent="0.25">
      <c r="A29" s="108" t="s">
        <v>182</v>
      </c>
      <c r="B29" s="111" t="s">
        <v>222</v>
      </c>
      <c r="C29" s="108" t="s">
        <v>286</v>
      </c>
    </row>
    <row r="30" spans="1:6" x14ac:dyDescent="0.25">
      <c r="A30" s="108" t="s">
        <v>183</v>
      </c>
      <c r="B30" s="111" t="s">
        <v>223</v>
      </c>
      <c r="C30" s="108"/>
    </row>
    <row r="31" spans="1:6" x14ac:dyDescent="0.25">
      <c r="A31" s="108" t="s">
        <v>184</v>
      </c>
      <c r="B31" s="111" t="s">
        <v>223</v>
      </c>
      <c r="C31" s="108"/>
    </row>
    <row r="32" spans="1:6" x14ac:dyDescent="0.25">
      <c r="A32" s="112"/>
      <c r="B32" s="113"/>
      <c r="C32" s="112"/>
      <c r="D32" s="112"/>
    </row>
    <row r="33" spans="1:6" ht="16.5" thickBot="1" x14ac:dyDescent="0.3">
      <c r="A33" s="128" t="s">
        <v>233</v>
      </c>
    </row>
    <row r="34" spans="1:6" ht="231" customHeight="1" thickBot="1" x14ac:dyDescent="0.3">
      <c r="A34" s="125" t="s">
        <v>185</v>
      </c>
      <c r="B34" s="213" t="s">
        <v>287</v>
      </c>
      <c r="C34" s="213"/>
      <c r="D34" s="213"/>
      <c r="E34" s="213"/>
      <c r="F34" s="213"/>
    </row>
    <row r="36" spans="1:6" ht="15.75" x14ac:dyDescent="0.25">
      <c r="A36" s="128" t="s">
        <v>234</v>
      </c>
    </row>
    <row r="37" spans="1:6" ht="30" x14ac:dyDescent="0.25">
      <c r="A37" s="110" t="s">
        <v>186</v>
      </c>
      <c r="B37" s="109" t="s">
        <v>187</v>
      </c>
      <c r="C37" s="214" t="s">
        <v>188</v>
      </c>
      <c r="D37" s="214"/>
      <c r="E37" s="214"/>
    </row>
    <row r="38" spans="1:6" ht="57.75" customHeight="1" x14ac:dyDescent="0.25">
      <c r="A38" s="108" t="s">
        <v>189</v>
      </c>
      <c r="B38" s="181" t="s">
        <v>222</v>
      </c>
      <c r="C38" s="215" t="s">
        <v>288</v>
      </c>
      <c r="D38" s="215"/>
      <c r="E38" s="215"/>
    </row>
    <row r="39" spans="1:6" x14ac:dyDescent="0.25">
      <c r="A39" s="108" t="s">
        <v>190</v>
      </c>
      <c r="B39" s="181" t="s">
        <v>223</v>
      </c>
      <c r="C39" s="207"/>
      <c r="D39" s="207"/>
      <c r="E39" s="207"/>
    </row>
    <row r="40" spans="1:6" x14ac:dyDescent="0.25">
      <c r="A40" s="108" t="s">
        <v>191</v>
      </c>
      <c r="B40" s="181" t="s">
        <v>222</v>
      </c>
      <c r="C40" s="207" t="s">
        <v>289</v>
      </c>
      <c r="D40" s="207"/>
      <c r="E40" s="207"/>
    </row>
    <row r="41" spans="1:6" ht="31.5" customHeight="1" x14ac:dyDescent="0.25">
      <c r="A41" s="108" t="s">
        <v>192</v>
      </c>
      <c r="B41" s="181" t="s">
        <v>222</v>
      </c>
      <c r="C41" s="208" t="s">
        <v>290</v>
      </c>
      <c r="D41" s="208"/>
      <c r="E41" s="208"/>
    </row>
    <row r="42" spans="1:6" x14ac:dyDescent="0.25">
      <c r="A42" s="108" t="s">
        <v>193</v>
      </c>
      <c r="B42" s="108"/>
      <c r="C42" s="209"/>
      <c r="D42" s="209"/>
      <c r="E42" s="209"/>
    </row>
    <row r="45" spans="1:6" ht="165" x14ac:dyDescent="0.25">
      <c r="A45" s="189" t="s">
        <v>320</v>
      </c>
    </row>
  </sheetData>
  <mergeCells count="9">
    <mergeCell ref="C40:E40"/>
    <mergeCell ref="C41:E41"/>
    <mergeCell ref="C42:E42"/>
    <mergeCell ref="A9:A10"/>
    <mergeCell ref="B9:F9"/>
    <mergeCell ref="B34:F34"/>
    <mergeCell ref="C37:E37"/>
    <mergeCell ref="C38:E38"/>
    <mergeCell ref="C39:E39"/>
  </mergeCells>
  <dataValidations count="2">
    <dataValidation type="list" allowBlank="1" showInputMessage="1" showErrorMessage="1" sqref="B32" xr:uid="{00000000-0002-0000-0400-000001000000}"/>
    <dataValidation showInputMessage="1" showErrorMessage="1" sqref="D11:F22" xr:uid="{84360544-CE39-4D8F-AC3F-36DC64A1FE42}"/>
  </dataValidations>
  <pageMargins left="0.7" right="0.7" top="0.75" bottom="0.75" header="0.3" footer="0.3"/>
  <pageSetup paperSize="8" scale="77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'Lista tendine '!$A$7:$A$9</xm:f>
          </x14:formula1>
          <xm:sqref>B38:B42</xm:sqref>
        </x14:dataValidation>
        <x14:dataValidation type="list" allowBlank="1" showInputMessage="1" showErrorMessage="1" xr:uid="{00000000-0002-0000-0400-000003000000}">
          <x14:formula1>
            <xm:f>'Lista tendine '!$A$3:$A$4</xm:f>
          </x14:formula1>
          <xm:sqref>B27:B31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38"/>
  <sheetViews>
    <sheetView showGridLines="0" topLeftCell="A22" zoomScaleNormal="100" workbookViewId="0">
      <selection activeCell="B10" sqref="B10"/>
    </sheetView>
  </sheetViews>
  <sheetFormatPr defaultColWidth="8.5703125" defaultRowHeight="15" x14ac:dyDescent="0.25"/>
  <cols>
    <col min="1" max="1" width="102.140625" customWidth="1"/>
    <col min="2" max="2" width="31.5703125" customWidth="1"/>
    <col min="3" max="3" width="15" style="56" customWidth="1"/>
    <col min="4" max="4" width="13.42578125" customWidth="1"/>
    <col min="5" max="5" width="11" customWidth="1"/>
  </cols>
  <sheetData>
    <row r="1" spans="1:3" ht="18.75" x14ac:dyDescent="0.3">
      <c r="A1" s="21" t="s">
        <v>226</v>
      </c>
    </row>
    <row r="2" spans="1:3" ht="18.75" x14ac:dyDescent="0.3">
      <c r="A2" s="21"/>
    </row>
    <row r="3" spans="1:3" ht="15.75" x14ac:dyDescent="0.25">
      <c r="A3" s="128" t="s">
        <v>227</v>
      </c>
    </row>
    <row r="4" spans="1:3" ht="15.75" x14ac:dyDescent="0.25">
      <c r="A4" s="64" t="s">
        <v>45</v>
      </c>
      <c r="B4" s="64" t="s">
        <v>57</v>
      </c>
      <c r="C4" s="66" t="s">
        <v>107</v>
      </c>
    </row>
    <row r="5" spans="1:3" ht="30" customHeight="1" x14ac:dyDescent="0.25">
      <c r="A5" s="93" t="s">
        <v>143</v>
      </c>
      <c r="B5" s="67"/>
      <c r="C5" s="68">
        <f t="shared" ref="C5:C10" si="0">B5/$B$11</f>
        <v>0</v>
      </c>
    </row>
    <row r="6" spans="1:3" ht="30" customHeight="1" x14ac:dyDescent="0.25">
      <c r="A6" s="93" t="s">
        <v>144</v>
      </c>
      <c r="B6" s="67"/>
      <c r="C6" s="68">
        <f t="shared" si="0"/>
        <v>0</v>
      </c>
    </row>
    <row r="7" spans="1:3" ht="30" customHeight="1" x14ac:dyDescent="0.25">
      <c r="A7" s="99" t="s">
        <v>153</v>
      </c>
      <c r="B7" s="67"/>
      <c r="C7" s="68">
        <f t="shared" si="0"/>
        <v>0</v>
      </c>
    </row>
    <row r="8" spans="1:3" ht="30" customHeight="1" x14ac:dyDescent="0.25">
      <c r="A8" s="93" t="s">
        <v>145</v>
      </c>
      <c r="B8" s="182">
        <v>7295.72</v>
      </c>
      <c r="C8" s="68">
        <f t="shared" si="0"/>
        <v>0.47325420810881114</v>
      </c>
    </row>
    <row r="9" spans="1:3" ht="30" customHeight="1" x14ac:dyDescent="0.25">
      <c r="A9" s="93" t="s">
        <v>146</v>
      </c>
      <c r="B9" s="182"/>
      <c r="C9" s="68">
        <f t="shared" si="0"/>
        <v>0</v>
      </c>
    </row>
    <row r="10" spans="1:3" ht="30" customHeight="1" x14ac:dyDescent="0.25">
      <c r="A10" s="93" t="s">
        <v>97</v>
      </c>
      <c r="B10" s="182">
        <v>8120.35</v>
      </c>
      <c r="C10" s="68">
        <f t="shared" si="0"/>
        <v>0.52674579189118886</v>
      </c>
    </row>
    <row r="11" spans="1:3" ht="30" customHeight="1" x14ac:dyDescent="0.25">
      <c r="A11" s="58" t="s">
        <v>52</v>
      </c>
      <c r="B11" s="65">
        <f>SUM(B5:B10)</f>
        <v>15416.07</v>
      </c>
      <c r="C11" s="69">
        <f>SUM(C5:C10)</f>
        <v>1</v>
      </c>
    </row>
    <row r="12" spans="1:3" ht="63.6" customHeight="1" x14ac:dyDescent="0.25">
      <c r="A12" s="220" t="s">
        <v>158</v>
      </c>
      <c r="B12" s="220"/>
      <c r="C12" s="220"/>
    </row>
    <row r="13" spans="1:3" x14ac:dyDescent="0.25">
      <c r="A13" s="221" t="s">
        <v>154</v>
      </c>
      <c r="B13" s="222"/>
      <c r="C13" s="223"/>
    </row>
    <row r="14" spans="1:3" x14ac:dyDescent="0.25">
      <c r="A14" s="220" t="s">
        <v>127</v>
      </c>
      <c r="B14" s="220"/>
      <c r="C14" s="220"/>
    </row>
    <row r="15" spans="1:3" x14ac:dyDescent="0.25">
      <c r="A15" s="220" t="s">
        <v>155</v>
      </c>
      <c r="B15" s="220"/>
      <c r="C15" s="220"/>
    </row>
    <row r="16" spans="1:3" ht="15.6" customHeight="1" x14ac:dyDescent="0.25">
      <c r="A16" s="13"/>
      <c r="B16" s="13"/>
      <c r="C16" s="57"/>
    </row>
    <row r="17" spans="1:3" ht="15.75" x14ac:dyDescent="0.25">
      <c r="A17" s="13"/>
      <c r="B17" s="13"/>
      <c r="C17" s="57"/>
    </row>
    <row r="18" spans="1:3" ht="15.75" x14ac:dyDescent="0.25">
      <c r="A18" s="127" t="s">
        <v>228</v>
      </c>
      <c r="B18" s="13"/>
      <c r="C18" s="57"/>
    </row>
    <row r="19" spans="1:3" ht="15.75" x14ac:dyDescent="0.25">
      <c r="A19" s="132" t="s">
        <v>225</v>
      </c>
      <c r="B19" s="183" t="s">
        <v>222</v>
      </c>
      <c r="C19" s="114"/>
    </row>
    <row r="20" spans="1:3" x14ac:dyDescent="0.25">
      <c r="A20" s="218" t="s">
        <v>198</v>
      </c>
      <c r="B20" s="224" t="s">
        <v>308</v>
      </c>
      <c r="C20" s="225"/>
    </row>
    <row r="21" spans="1:3" ht="93.75" customHeight="1" x14ac:dyDescent="0.25">
      <c r="A21" s="219"/>
      <c r="B21" s="226"/>
      <c r="C21" s="227"/>
    </row>
    <row r="22" spans="1:3" x14ac:dyDescent="0.25">
      <c r="A22" s="218" t="s">
        <v>212</v>
      </c>
      <c r="B22" s="224" t="s">
        <v>297</v>
      </c>
      <c r="C22" s="225"/>
    </row>
    <row r="23" spans="1:3" ht="25.5" customHeight="1" x14ac:dyDescent="0.25">
      <c r="A23" s="219"/>
      <c r="B23" s="226"/>
      <c r="C23" s="227"/>
    </row>
    <row r="24" spans="1:3" x14ac:dyDescent="0.25">
      <c r="A24" s="51"/>
      <c r="B24" s="51"/>
      <c r="C24" s="115"/>
    </row>
    <row r="25" spans="1:3" x14ac:dyDescent="0.25">
      <c r="A25" s="218" t="s">
        <v>211</v>
      </c>
      <c r="B25" s="228"/>
      <c r="C25" s="229"/>
    </row>
    <row r="26" spans="1:3" x14ac:dyDescent="0.25">
      <c r="A26" s="219"/>
      <c r="B26" s="230"/>
      <c r="C26" s="231"/>
    </row>
    <row r="27" spans="1:3" x14ac:dyDescent="0.25">
      <c r="A27" s="51"/>
      <c r="B27" s="51"/>
      <c r="C27" s="115"/>
    </row>
    <row r="28" spans="1:3" ht="15.75" x14ac:dyDescent="0.25">
      <c r="A28" s="133" t="s">
        <v>199</v>
      </c>
      <c r="B28" s="117" t="s">
        <v>200</v>
      </c>
      <c r="C28" s="116" t="s">
        <v>201</v>
      </c>
    </row>
    <row r="29" spans="1:3" x14ac:dyDescent="0.25">
      <c r="A29" s="99" t="s">
        <v>202</v>
      </c>
      <c r="B29" s="99" t="s">
        <v>222</v>
      </c>
      <c r="C29" s="99"/>
    </row>
    <row r="30" spans="1:3" x14ac:dyDescent="0.25">
      <c r="A30" s="99" t="s">
        <v>203</v>
      </c>
      <c r="B30" s="99" t="s">
        <v>222</v>
      </c>
      <c r="C30" s="99"/>
    </row>
    <row r="31" spans="1:3" x14ac:dyDescent="0.25">
      <c r="A31" s="99" t="s">
        <v>204</v>
      </c>
      <c r="B31" s="99" t="s">
        <v>222</v>
      </c>
      <c r="C31" s="99"/>
    </row>
    <row r="32" spans="1:3" x14ac:dyDescent="0.25">
      <c r="A32" s="99" t="s">
        <v>205</v>
      </c>
      <c r="B32" s="51" t="s">
        <v>222</v>
      </c>
      <c r="C32" s="51"/>
    </row>
    <row r="33" spans="1:3" x14ac:dyDescent="0.25">
      <c r="A33" s="99" t="s">
        <v>206</v>
      </c>
      <c r="B33" s="51" t="s">
        <v>222</v>
      </c>
      <c r="C33" s="51"/>
    </row>
    <row r="34" spans="1:3" x14ac:dyDescent="0.25">
      <c r="A34" s="99" t="s">
        <v>97</v>
      </c>
      <c r="B34" s="51"/>
      <c r="C34" s="51"/>
    </row>
    <row r="35" spans="1:3" x14ac:dyDescent="0.25">
      <c r="A35" s="99" t="s">
        <v>238</v>
      </c>
      <c r="B35" s="216"/>
      <c r="C35" s="217"/>
    </row>
    <row r="36" spans="1:3" ht="15.75" x14ac:dyDescent="0.25">
      <c r="A36" s="133" t="s">
        <v>207</v>
      </c>
      <c r="B36" s="117" t="s">
        <v>200</v>
      </c>
      <c r="C36" s="116" t="s">
        <v>201</v>
      </c>
    </row>
    <row r="37" spans="1:3" x14ac:dyDescent="0.25">
      <c r="A37" s="99" t="s">
        <v>208</v>
      </c>
      <c r="B37" s="99" t="s">
        <v>222</v>
      </c>
      <c r="C37" s="99"/>
    </row>
    <row r="38" spans="1:3" ht="51.6" customHeight="1" x14ac:dyDescent="0.25">
      <c r="A38" s="99" t="s">
        <v>209</v>
      </c>
      <c r="B38" s="99" t="s">
        <v>223</v>
      </c>
      <c r="C38" s="129" t="s">
        <v>210</v>
      </c>
    </row>
  </sheetData>
  <mergeCells count="11">
    <mergeCell ref="B35:C35"/>
    <mergeCell ref="A25:A26"/>
    <mergeCell ref="A22:A23"/>
    <mergeCell ref="A12:C12"/>
    <mergeCell ref="A14:C14"/>
    <mergeCell ref="A15:C15"/>
    <mergeCell ref="A13:C13"/>
    <mergeCell ref="A20:A21"/>
    <mergeCell ref="B20:C21"/>
    <mergeCell ref="B22:C23"/>
    <mergeCell ref="B25:C26"/>
  </mergeCells>
  <pageMargins left="0.7" right="0.7" top="0.75" bottom="0.75" header="0.3" footer="0.3"/>
  <pageSetup paperSize="8" scale="8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'Lista tendine '!$A$13:$A$14</xm:f>
          </x14:formula1>
          <xm:sqref>B37:B38 B19 B29:B34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43"/>
  <sheetViews>
    <sheetView showGridLines="0" topLeftCell="A19" zoomScaleNormal="100" workbookViewId="0">
      <selection activeCell="C34" sqref="C34"/>
    </sheetView>
  </sheetViews>
  <sheetFormatPr defaultColWidth="8.5703125" defaultRowHeight="15" x14ac:dyDescent="0.25"/>
  <cols>
    <col min="1" max="1" width="78.7109375" customWidth="1"/>
    <col min="2" max="2" width="23.140625" style="84" customWidth="1"/>
    <col min="3" max="3" width="29" customWidth="1"/>
    <col min="4" max="4" width="22" customWidth="1"/>
    <col min="5" max="5" width="29" customWidth="1"/>
    <col min="6" max="6" width="9.28515625" bestFit="1" customWidth="1"/>
  </cols>
  <sheetData>
    <row r="1" spans="1:6" ht="18.75" x14ac:dyDescent="0.3">
      <c r="A1" s="21" t="s">
        <v>64</v>
      </c>
      <c r="B1" s="77"/>
    </row>
    <row r="3" spans="1:6" ht="18.75" x14ac:dyDescent="0.25">
      <c r="A3" s="131" t="s">
        <v>65</v>
      </c>
      <c r="B3" s="78"/>
      <c r="C3" s="13"/>
      <c r="D3" s="13"/>
      <c r="E3" s="13"/>
    </row>
    <row r="4" spans="1:6" ht="94.5" x14ac:dyDescent="0.25">
      <c r="A4" s="20" t="s">
        <v>66</v>
      </c>
      <c r="B4" s="79" t="s">
        <v>147</v>
      </c>
      <c r="C4" s="20" t="s">
        <v>280</v>
      </c>
      <c r="D4" s="20" t="s">
        <v>67</v>
      </c>
      <c r="E4" s="85" t="s">
        <v>150</v>
      </c>
    </row>
    <row r="5" spans="1:6" ht="15.75" x14ac:dyDescent="0.25">
      <c r="A5" s="130" t="s">
        <v>135</v>
      </c>
      <c r="B5" s="80">
        <v>1</v>
      </c>
      <c r="C5" s="16" t="s">
        <v>291</v>
      </c>
      <c r="D5" s="16"/>
      <c r="E5" s="16">
        <v>11868</v>
      </c>
    </row>
    <row r="6" spans="1:6" ht="15.75" x14ac:dyDescent="0.25">
      <c r="A6" s="130" t="s">
        <v>136</v>
      </c>
      <c r="B6" s="80"/>
      <c r="C6" s="16"/>
      <c r="D6" s="16"/>
      <c r="E6" s="16">
        <v>0</v>
      </c>
    </row>
    <row r="7" spans="1:6" ht="15.75" x14ac:dyDescent="0.25">
      <c r="A7" s="130" t="s">
        <v>140</v>
      </c>
      <c r="B7" s="80">
        <v>1</v>
      </c>
      <c r="C7" s="16" t="s">
        <v>291</v>
      </c>
      <c r="D7" s="16"/>
      <c r="E7" s="16">
        <v>11868</v>
      </c>
    </row>
    <row r="8" spans="1:6" ht="15.75" x14ac:dyDescent="0.25">
      <c r="A8" s="130" t="s">
        <v>284</v>
      </c>
      <c r="B8" s="80">
        <f>15/36</f>
        <v>0.41666666666666669</v>
      </c>
      <c r="C8" s="16" t="s">
        <v>291</v>
      </c>
      <c r="D8" s="16"/>
      <c r="E8" s="16">
        <f>35499.03/2</f>
        <v>17749.514999999999</v>
      </c>
      <c r="F8" s="173"/>
    </row>
    <row r="9" spans="1:6" ht="15.75" x14ac:dyDescent="0.25">
      <c r="A9" s="130" t="s">
        <v>284</v>
      </c>
      <c r="B9" s="80">
        <f>15/36-0.01</f>
        <v>0.40666666666666668</v>
      </c>
      <c r="C9" s="16" t="s">
        <v>292</v>
      </c>
      <c r="D9" s="16"/>
      <c r="E9" s="16">
        <f>E8-0.01</f>
        <v>17749.505000000001</v>
      </c>
    </row>
    <row r="10" spans="1:6" ht="15.75" x14ac:dyDescent="0.25">
      <c r="A10" s="130" t="s">
        <v>68</v>
      </c>
      <c r="B10" s="80"/>
      <c r="C10" s="16"/>
      <c r="D10" s="16"/>
      <c r="E10" s="16">
        <v>0</v>
      </c>
    </row>
    <row r="11" spans="1:6" ht="15.75" x14ac:dyDescent="0.25">
      <c r="A11" s="130" t="s">
        <v>68</v>
      </c>
      <c r="B11" s="80"/>
      <c r="C11" s="16"/>
      <c r="D11" s="16"/>
      <c r="E11" s="16">
        <v>0</v>
      </c>
    </row>
    <row r="12" spans="1:6" ht="15.75" x14ac:dyDescent="0.25">
      <c r="A12" s="73" t="s">
        <v>69</v>
      </c>
      <c r="B12" s="81">
        <f>SUM(B5:B11)</f>
        <v>2.8233333333333333</v>
      </c>
      <c r="C12" s="43"/>
      <c r="D12" s="43"/>
      <c r="E12" s="43">
        <f>SUM(E5:E11)</f>
        <v>59235.020000000004</v>
      </c>
    </row>
    <row r="13" spans="1:6" ht="15.75" x14ac:dyDescent="0.25">
      <c r="A13" s="20" t="s">
        <v>70</v>
      </c>
      <c r="B13" s="20"/>
      <c r="C13" s="20"/>
      <c r="D13" s="20"/>
      <c r="E13" s="85" t="s">
        <v>151</v>
      </c>
    </row>
    <row r="14" spans="1:6" ht="15.6" customHeight="1" x14ac:dyDescent="0.25">
      <c r="A14" s="130" t="s">
        <v>50</v>
      </c>
      <c r="B14" s="16"/>
      <c r="C14" s="16"/>
      <c r="D14" s="16"/>
      <c r="E14" s="16"/>
    </row>
    <row r="15" spans="1:6" ht="15.75" x14ac:dyDescent="0.25">
      <c r="A15" s="130" t="s">
        <v>71</v>
      </c>
      <c r="B15" s="16"/>
      <c r="C15" s="16"/>
      <c r="D15" s="16"/>
      <c r="E15" s="16">
        <v>0</v>
      </c>
    </row>
    <row r="16" spans="1:6" ht="15.75" x14ac:dyDescent="0.25">
      <c r="A16" s="74" t="s">
        <v>69</v>
      </c>
      <c r="B16" s="74"/>
      <c r="C16" s="74"/>
      <c r="D16" s="74"/>
      <c r="E16" s="44"/>
    </row>
    <row r="17" spans="1:5" ht="15.75" x14ac:dyDescent="0.25">
      <c r="A17" s="71" t="s">
        <v>52</v>
      </c>
      <c r="B17" s="82"/>
      <c r="C17" s="41"/>
      <c r="D17" s="42"/>
      <c r="E17" s="41">
        <f>SUM(E12+E16)</f>
        <v>59235.020000000004</v>
      </c>
    </row>
    <row r="18" spans="1:5" ht="15.75" x14ac:dyDescent="0.25">
      <c r="A18" s="70" t="s">
        <v>148</v>
      </c>
      <c r="B18" s="83"/>
      <c r="C18" s="13"/>
      <c r="D18" s="13"/>
      <c r="E18" s="13"/>
    </row>
    <row r="19" spans="1:5" ht="14.45" customHeight="1" x14ac:dyDescent="0.25"/>
    <row r="20" spans="1:5" ht="14.45" customHeight="1" x14ac:dyDescent="0.25"/>
    <row r="21" spans="1:5" ht="14.45" customHeight="1" x14ac:dyDescent="0.25">
      <c r="A21" s="131" t="s">
        <v>239</v>
      </c>
    </row>
    <row r="22" spans="1:5" ht="47.25" x14ac:dyDescent="0.25">
      <c r="A22" s="79" t="s">
        <v>213</v>
      </c>
      <c r="B22" s="79" t="s">
        <v>214</v>
      </c>
      <c r="C22" s="79"/>
      <c r="D22" s="79" t="s">
        <v>220</v>
      </c>
      <c r="E22" s="79"/>
    </row>
    <row r="23" spans="1:5" ht="31.5" x14ac:dyDescent="0.25">
      <c r="A23" s="79"/>
      <c r="B23" s="79" t="s">
        <v>215</v>
      </c>
      <c r="C23" s="79" t="s">
        <v>219</v>
      </c>
      <c r="D23" s="79" t="s">
        <v>216</v>
      </c>
      <c r="E23" s="79" t="s">
        <v>217</v>
      </c>
    </row>
    <row r="24" spans="1:5" x14ac:dyDescent="0.25">
      <c r="A24" s="177" t="s">
        <v>310</v>
      </c>
      <c r="B24" s="106">
        <v>2</v>
      </c>
      <c r="C24" s="106">
        <f>7.5+5</f>
        <v>12.5</v>
      </c>
      <c r="D24" s="122"/>
      <c r="E24" s="51"/>
    </row>
    <row r="25" spans="1:5" x14ac:dyDescent="0.25">
      <c r="A25" s="177" t="s">
        <v>311</v>
      </c>
      <c r="B25" s="106">
        <v>1</v>
      </c>
      <c r="C25" s="106">
        <v>4</v>
      </c>
      <c r="D25" s="122"/>
      <c r="E25" s="51"/>
    </row>
    <row r="26" spans="1:5" x14ac:dyDescent="0.25">
      <c r="A26" s="177" t="s">
        <v>312</v>
      </c>
      <c r="B26" s="106">
        <v>1</v>
      </c>
      <c r="C26" s="106">
        <v>6</v>
      </c>
      <c r="D26" s="122"/>
      <c r="E26" s="51"/>
    </row>
    <row r="27" spans="1:5" x14ac:dyDescent="0.25">
      <c r="A27" s="177" t="s">
        <v>313</v>
      </c>
      <c r="B27" s="106">
        <v>1</v>
      </c>
      <c r="C27" s="106">
        <v>4</v>
      </c>
      <c r="D27" s="122"/>
      <c r="E27" s="51"/>
    </row>
    <row r="28" spans="1:5" x14ac:dyDescent="0.25">
      <c r="A28" s="177" t="s">
        <v>314</v>
      </c>
      <c r="B28" s="106">
        <v>1</v>
      </c>
      <c r="C28" s="106">
        <v>9</v>
      </c>
      <c r="D28" s="122"/>
      <c r="E28" s="51"/>
    </row>
    <row r="29" spans="1:5" x14ac:dyDescent="0.25">
      <c r="A29" s="177" t="s">
        <v>315</v>
      </c>
      <c r="B29" s="106">
        <v>1</v>
      </c>
      <c r="C29" s="106">
        <v>3</v>
      </c>
      <c r="D29" s="122"/>
      <c r="E29" s="51"/>
    </row>
    <row r="30" spans="1:5" x14ac:dyDescent="0.25">
      <c r="A30" s="177" t="s">
        <v>316</v>
      </c>
      <c r="B30" s="106">
        <v>1</v>
      </c>
      <c r="C30" s="106">
        <v>3</v>
      </c>
      <c r="D30" s="122"/>
      <c r="E30" s="51"/>
    </row>
    <row r="31" spans="1:5" x14ac:dyDescent="0.25">
      <c r="A31" s="177" t="s">
        <v>317</v>
      </c>
      <c r="B31" s="106">
        <v>1</v>
      </c>
      <c r="C31" s="106">
        <v>4</v>
      </c>
      <c r="D31" s="122"/>
      <c r="E31" s="51"/>
    </row>
    <row r="32" spans="1:5" x14ac:dyDescent="0.25">
      <c r="A32" s="177" t="s">
        <v>318</v>
      </c>
      <c r="B32" s="106">
        <v>1</v>
      </c>
      <c r="C32" s="106">
        <v>4</v>
      </c>
      <c r="D32" s="122"/>
      <c r="E32" s="51"/>
    </row>
    <row r="33" spans="1:5" x14ac:dyDescent="0.25">
      <c r="A33" s="177" t="s">
        <v>319</v>
      </c>
      <c r="B33" s="106">
        <v>2</v>
      </c>
      <c r="C33" s="106">
        <f>8+5</f>
        <v>13</v>
      </c>
      <c r="D33" s="122"/>
      <c r="E33" s="51"/>
    </row>
    <row r="34" spans="1:5" x14ac:dyDescent="0.25">
      <c r="A34" s="177" t="s">
        <v>298</v>
      </c>
      <c r="B34" s="106">
        <v>3</v>
      </c>
      <c r="C34" s="106">
        <v>14</v>
      </c>
      <c r="D34" s="174"/>
      <c r="E34" s="106"/>
    </row>
    <row r="35" spans="1:5" x14ac:dyDescent="0.25">
      <c r="A35" s="177" t="s">
        <v>299</v>
      </c>
      <c r="B35" s="106">
        <v>2</v>
      </c>
      <c r="C35" s="106">
        <v>10</v>
      </c>
      <c r="D35" s="174"/>
      <c r="E35" s="106"/>
    </row>
    <row r="36" spans="1:5" x14ac:dyDescent="0.25">
      <c r="A36" s="177" t="s">
        <v>300</v>
      </c>
      <c r="B36" s="106">
        <v>3</v>
      </c>
      <c r="C36" s="106">
        <v>6</v>
      </c>
      <c r="D36" s="174"/>
      <c r="E36" s="106"/>
    </row>
    <row r="37" spans="1:5" x14ac:dyDescent="0.25">
      <c r="A37" s="177" t="s">
        <v>301</v>
      </c>
      <c r="B37" s="106">
        <v>2</v>
      </c>
      <c r="C37" s="106">
        <v>7</v>
      </c>
      <c r="D37" s="174"/>
      <c r="E37" s="106"/>
    </row>
    <row r="38" spans="1:5" x14ac:dyDescent="0.25">
      <c r="A38" s="177" t="s">
        <v>302</v>
      </c>
      <c r="B38" s="106">
        <v>1</v>
      </c>
      <c r="C38" s="106">
        <v>66</v>
      </c>
      <c r="D38" s="174">
        <v>1</v>
      </c>
      <c r="E38" s="106">
        <v>20</v>
      </c>
    </row>
    <row r="39" spans="1:5" x14ac:dyDescent="0.25">
      <c r="A39" s="177" t="s">
        <v>303</v>
      </c>
      <c r="B39" s="106">
        <v>1</v>
      </c>
      <c r="C39" s="106">
        <v>7</v>
      </c>
      <c r="D39" s="174"/>
      <c r="E39" s="106"/>
    </row>
    <row r="40" spans="1:5" x14ac:dyDescent="0.25">
      <c r="A40" s="51" t="s">
        <v>304</v>
      </c>
      <c r="B40" s="176">
        <v>1</v>
      </c>
      <c r="C40" s="106">
        <v>13</v>
      </c>
      <c r="D40" s="174"/>
      <c r="E40" s="106"/>
    </row>
    <row r="41" spans="1:5" x14ac:dyDescent="0.25">
      <c r="A41" s="51" t="s">
        <v>305</v>
      </c>
      <c r="B41" s="176">
        <v>1</v>
      </c>
      <c r="C41" s="106">
        <v>18</v>
      </c>
      <c r="D41" s="174"/>
      <c r="E41" s="106"/>
    </row>
    <row r="42" spans="1:5" x14ac:dyDescent="0.25">
      <c r="A42" s="51" t="s">
        <v>306</v>
      </c>
      <c r="B42" s="176">
        <v>1</v>
      </c>
      <c r="C42" s="106">
        <v>4</v>
      </c>
      <c r="D42" s="174"/>
      <c r="E42" s="106"/>
    </row>
    <row r="43" spans="1:5" x14ac:dyDescent="0.25">
      <c r="A43" s="51" t="s">
        <v>307</v>
      </c>
      <c r="B43" s="176">
        <v>2</v>
      </c>
      <c r="C43" s="106">
        <v>10</v>
      </c>
      <c r="D43" s="174"/>
      <c r="E43" s="106"/>
    </row>
  </sheetData>
  <pageMargins left="0.7" right="0.7" top="0.75" bottom="0.75" header="0.3" footer="0.3"/>
  <pageSetup paperSize="8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10"/>
  <sheetViews>
    <sheetView showGridLines="0" zoomScale="115" zoomScaleNormal="115" workbookViewId="0">
      <selection activeCell="C7" sqref="C7"/>
    </sheetView>
  </sheetViews>
  <sheetFormatPr defaultColWidth="8.5703125" defaultRowHeight="15" x14ac:dyDescent="0.25"/>
  <cols>
    <col min="1" max="1" width="61.5703125" bestFit="1" customWidth="1"/>
    <col min="2" max="2" width="45.42578125" customWidth="1"/>
    <col min="3" max="3" width="19" customWidth="1"/>
    <col min="4" max="5" width="11" customWidth="1"/>
  </cols>
  <sheetData>
    <row r="1" spans="1:3" ht="18.75" x14ac:dyDescent="0.3">
      <c r="A1" s="21" t="s">
        <v>72</v>
      </c>
    </row>
    <row r="3" spans="1:3" ht="18.75" x14ac:dyDescent="0.25">
      <c r="A3" s="22" t="s">
        <v>73</v>
      </c>
      <c r="B3" s="13"/>
      <c r="C3" s="13"/>
    </row>
    <row r="4" spans="1:3" ht="19.5" customHeight="1" x14ac:dyDescent="0.25">
      <c r="A4" s="20" t="s">
        <v>74</v>
      </c>
      <c r="B4" s="20" t="s">
        <v>75</v>
      </c>
      <c r="C4" s="20" t="s">
        <v>57</v>
      </c>
    </row>
    <row r="5" spans="1:3" ht="24.75" customHeight="1" x14ac:dyDescent="0.25">
      <c r="A5" s="30"/>
      <c r="B5" s="30"/>
      <c r="C5" s="24"/>
    </row>
    <row r="6" spans="1:3" ht="24.75" customHeight="1" x14ac:dyDescent="0.25">
      <c r="A6" s="30"/>
      <c r="B6" s="30"/>
      <c r="C6" s="24"/>
    </row>
    <row r="7" spans="1:3" ht="29.25" customHeight="1" x14ac:dyDescent="0.25">
      <c r="A7" s="30"/>
      <c r="B7" s="27" t="s">
        <v>52</v>
      </c>
      <c r="C7" s="27">
        <f>SUM(C5:C6)</f>
        <v>0</v>
      </c>
    </row>
    <row r="8" spans="1:3" ht="88.5" customHeight="1" x14ac:dyDescent="0.25">
      <c r="A8" s="62" t="s">
        <v>137</v>
      </c>
      <c r="B8" s="232"/>
      <c r="C8" s="233"/>
    </row>
    <row r="10" spans="1:3" ht="97.35" customHeight="1" x14ac:dyDescent="0.25">
      <c r="A10" s="206" t="s">
        <v>130</v>
      </c>
      <c r="B10" s="206"/>
      <c r="C10" s="206"/>
    </row>
  </sheetData>
  <mergeCells count="2">
    <mergeCell ref="B8:C8"/>
    <mergeCell ref="A10:C10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53"/>
  <sheetViews>
    <sheetView showGridLines="0" zoomScaleNormal="100" workbookViewId="0">
      <selection activeCell="B6" sqref="B6"/>
    </sheetView>
  </sheetViews>
  <sheetFormatPr defaultColWidth="30.5703125" defaultRowHeight="15" x14ac:dyDescent="0.25"/>
  <cols>
    <col min="1" max="1" width="35.42578125" customWidth="1"/>
  </cols>
  <sheetData>
    <row r="1" spans="1:4" ht="18.75" x14ac:dyDescent="0.3">
      <c r="A1" s="21" t="s">
        <v>76</v>
      </c>
    </row>
    <row r="3" spans="1:4" ht="15.75" x14ac:dyDescent="0.25">
      <c r="A3" s="131" t="s">
        <v>77</v>
      </c>
      <c r="B3" s="7"/>
      <c r="C3" s="7"/>
    </row>
    <row r="4" spans="1:4" ht="30" customHeight="1" x14ac:dyDescent="0.25">
      <c r="A4" s="238" t="s">
        <v>78</v>
      </c>
      <c r="B4" s="234" t="s">
        <v>79</v>
      </c>
      <c r="C4" s="234" t="s">
        <v>80</v>
      </c>
    </row>
    <row r="5" spans="1:4" ht="30" customHeight="1" x14ac:dyDescent="0.25">
      <c r="A5" s="239"/>
      <c r="B5" s="234"/>
      <c r="C5" s="234"/>
    </row>
    <row r="6" spans="1:4" ht="20.100000000000001" customHeight="1" x14ac:dyDescent="0.25">
      <c r="A6" s="134" t="s">
        <v>81</v>
      </c>
      <c r="B6" s="86">
        <v>4</v>
      </c>
      <c r="C6" s="87">
        <v>8</v>
      </c>
    </row>
    <row r="7" spans="1:4" ht="20.100000000000001" customHeight="1" x14ac:dyDescent="0.25">
      <c r="A7" s="134" t="s">
        <v>82</v>
      </c>
      <c r="B7" s="86">
        <v>2</v>
      </c>
      <c r="C7" s="87">
        <v>4</v>
      </c>
    </row>
    <row r="8" spans="1:4" ht="20.100000000000001" customHeight="1" x14ac:dyDescent="0.25">
      <c r="A8" s="134" t="s">
        <v>83</v>
      </c>
      <c r="B8" s="86"/>
      <c r="C8" s="87"/>
    </row>
    <row r="9" spans="1:4" ht="20.100000000000001" customHeight="1" x14ac:dyDescent="0.25">
      <c r="A9" s="134" t="s">
        <v>84</v>
      </c>
      <c r="B9" s="86">
        <v>3</v>
      </c>
      <c r="C9" s="87">
        <v>6</v>
      </c>
    </row>
    <row r="10" spans="1:4" ht="20.100000000000001" customHeight="1" x14ac:dyDescent="0.25">
      <c r="A10" s="134" t="s">
        <v>85</v>
      </c>
      <c r="B10" s="86"/>
      <c r="C10" s="87"/>
    </row>
    <row r="11" spans="1:4" ht="20.100000000000001" customHeight="1" x14ac:dyDescent="0.25">
      <c r="A11" s="135" t="s">
        <v>86</v>
      </c>
      <c r="B11" s="88"/>
      <c r="C11" s="89"/>
    </row>
    <row r="12" spans="1:4" ht="20.100000000000001" customHeight="1" x14ac:dyDescent="0.25">
      <c r="A12" s="72" t="s">
        <v>52</v>
      </c>
      <c r="B12" s="90">
        <f>SUM(B6:B11)</f>
        <v>9</v>
      </c>
      <c r="C12" s="90">
        <f>SUM(C6:C11)</f>
        <v>18</v>
      </c>
    </row>
    <row r="13" spans="1:4" ht="50.1" customHeight="1" x14ac:dyDescent="0.25">
      <c r="A13" s="206" t="s">
        <v>87</v>
      </c>
      <c r="B13" s="206"/>
      <c r="C13" s="206"/>
      <c r="D13" s="35"/>
    </row>
    <row r="14" spans="1:4" ht="15.75" x14ac:dyDescent="0.25">
      <c r="A14" s="7"/>
      <c r="B14" s="7"/>
      <c r="C14" s="7"/>
    </row>
    <row r="15" spans="1:4" ht="15.75" x14ac:dyDescent="0.25">
      <c r="A15" s="131" t="s">
        <v>88</v>
      </c>
      <c r="B15" s="7"/>
      <c r="C15" s="7"/>
    </row>
    <row r="16" spans="1:4" ht="38.25" customHeight="1" x14ac:dyDescent="0.25">
      <c r="A16" s="234" t="s">
        <v>89</v>
      </c>
      <c r="B16" s="238" t="s">
        <v>90</v>
      </c>
      <c r="C16" s="7"/>
    </row>
    <row r="17" spans="1:3" ht="15" customHeight="1" x14ac:dyDescent="0.25">
      <c r="A17" s="234"/>
      <c r="B17" s="239"/>
    </row>
    <row r="18" spans="1:3" ht="15.75" x14ac:dyDescent="0.25">
      <c r="A18" s="136" t="s">
        <v>91</v>
      </c>
      <c r="B18" s="45">
        <v>0</v>
      </c>
    </row>
    <row r="19" spans="1:3" ht="15.75" x14ac:dyDescent="0.25">
      <c r="A19" s="136" t="s">
        <v>131</v>
      </c>
      <c r="B19" s="45">
        <v>604.84</v>
      </c>
      <c r="C19" s="7"/>
    </row>
    <row r="20" spans="1:3" ht="15.75" x14ac:dyDescent="0.25">
      <c r="A20" s="136" t="s">
        <v>48</v>
      </c>
      <c r="B20" s="45">
        <v>400</v>
      </c>
      <c r="C20" s="7"/>
    </row>
    <row r="21" spans="1:3" ht="15.75" x14ac:dyDescent="0.25">
      <c r="A21" s="136" t="s">
        <v>92</v>
      </c>
      <c r="B21" s="45">
        <v>0</v>
      </c>
      <c r="C21" s="7"/>
    </row>
    <row r="22" spans="1:3" ht="18" customHeight="1" x14ac:dyDescent="0.25">
      <c r="A22" s="136" t="s">
        <v>93</v>
      </c>
      <c r="B22" s="45">
        <v>0</v>
      </c>
      <c r="C22" s="7"/>
    </row>
    <row r="23" spans="1:3" ht="15.75" x14ac:dyDescent="0.25">
      <c r="A23" s="136" t="s">
        <v>94</v>
      </c>
      <c r="B23" s="45">
        <v>5400</v>
      </c>
      <c r="C23" s="7"/>
    </row>
    <row r="24" spans="1:3" ht="15.75" x14ac:dyDescent="0.25">
      <c r="A24" s="136" t="s">
        <v>95</v>
      </c>
      <c r="B24" s="45">
        <v>0</v>
      </c>
      <c r="C24" s="7"/>
    </row>
    <row r="25" spans="1:3" ht="15.75" x14ac:dyDescent="0.25">
      <c r="A25" s="136" t="s">
        <v>96</v>
      </c>
      <c r="B25" s="45">
        <v>0</v>
      </c>
      <c r="C25" s="7"/>
    </row>
    <row r="26" spans="1:3" ht="15.75" x14ac:dyDescent="0.25">
      <c r="A26" s="55" t="s">
        <v>98</v>
      </c>
      <c r="B26" s="27">
        <f>SUM(B18:B25)</f>
        <v>6404.84</v>
      </c>
      <c r="C26" s="7"/>
    </row>
    <row r="27" spans="1:3" ht="125.1" customHeight="1" x14ac:dyDescent="0.25">
      <c r="A27" s="206" t="s">
        <v>159</v>
      </c>
      <c r="B27" s="206"/>
      <c r="C27" s="206"/>
    </row>
    <row r="29" spans="1:3" ht="15.75" x14ac:dyDescent="0.25">
      <c r="A29" s="131" t="s">
        <v>99</v>
      </c>
      <c r="B29" s="7"/>
      <c r="C29" s="7"/>
    </row>
    <row r="30" spans="1:3" x14ac:dyDescent="0.25">
      <c r="A30" s="235" t="s">
        <v>100</v>
      </c>
      <c r="B30" s="237" t="s">
        <v>79</v>
      </c>
      <c r="C30" s="237" t="s">
        <v>80</v>
      </c>
    </row>
    <row r="31" spans="1:3" x14ac:dyDescent="0.25">
      <c r="A31" s="236"/>
      <c r="B31" s="237"/>
      <c r="C31" s="237"/>
    </row>
    <row r="32" spans="1:3" x14ac:dyDescent="0.25">
      <c r="A32" s="134" t="s">
        <v>81</v>
      </c>
      <c r="B32" s="137"/>
      <c r="C32" s="138"/>
    </row>
    <row r="33" spans="1:3" x14ac:dyDescent="0.25">
      <c r="A33" s="134" t="s">
        <v>82</v>
      </c>
      <c r="B33" s="137"/>
      <c r="C33" s="138"/>
    </row>
    <row r="34" spans="1:3" x14ac:dyDescent="0.25">
      <c r="A34" s="134" t="s">
        <v>83</v>
      </c>
      <c r="B34" s="137"/>
      <c r="C34" s="138"/>
    </row>
    <row r="35" spans="1:3" x14ac:dyDescent="0.25">
      <c r="A35" s="134" t="s">
        <v>84</v>
      </c>
      <c r="B35" s="137"/>
      <c r="C35" s="138"/>
    </row>
    <row r="36" spans="1:3" x14ac:dyDescent="0.25">
      <c r="A36" s="134" t="s">
        <v>85</v>
      </c>
      <c r="B36" s="137"/>
      <c r="C36" s="138"/>
    </row>
    <row r="37" spans="1:3" x14ac:dyDescent="0.25">
      <c r="A37" s="135" t="s">
        <v>86</v>
      </c>
      <c r="B37" s="139"/>
      <c r="C37" s="140"/>
    </row>
    <row r="38" spans="1:3" ht="15.75" x14ac:dyDescent="0.25">
      <c r="A38" s="72" t="s">
        <v>52</v>
      </c>
      <c r="B38" s="90">
        <f>SUM(B32:B37)</f>
        <v>0</v>
      </c>
      <c r="C38" s="90">
        <f>SUM(C32:C37)</f>
        <v>0</v>
      </c>
    </row>
    <row r="40" spans="1:3" ht="15.75" x14ac:dyDescent="0.25">
      <c r="A40" s="131" t="s">
        <v>101</v>
      </c>
      <c r="B40" s="7"/>
    </row>
    <row r="41" spans="1:3" x14ac:dyDescent="0.25">
      <c r="A41" s="237" t="s">
        <v>89</v>
      </c>
      <c r="B41" s="235" t="s">
        <v>90</v>
      </c>
    </row>
    <row r="42" spans="1:3" x14ac:dyDescent="0.25">
      <c r="A42" s="237"/>
      <c r="B42" s="236"/>
    </row>
    <row r="43" spans="1:3" x14ac:dyDescent="0.25">
      <c r="A43" s="136" t="s">
        <v>91</v>
      </c>
      <c r="B43" s="141">
        <v>0</v>
      </c>
    </row>
    <row r="44" spans="1:3" x14ac:dyDescent="0.25">
      <c r="A44" s="136" t="s">
        <v>102</v>
      </c>
      <c r="B44" s="141">
        <v>0</v>
      </c>
    </row>
    <row r="45" spans="1:3" x14ac:dyDescent="0.25">
      <c r="A45" s="136" t="s">
        <v>48</v>
      </c>
      <c r="B45" s="141">
        <v>0</v>
      </c>
    </row>
    <row r="46" spans="1:3" x14ac:dyDescent="0.25">
      <c r="A46" s="136" t="s">
        <v>92</v>
      </c>
      <c r="B46" s="141">
        <v>0</v>
      </c>
    </row>
    <row r="47" spans="1:3" x14ac:dyDescent="0.25">
      <c r="A47" s="136" t="s">
        <v>93</v>
      </c>
      <c r="B47" s="141">
        <v>0</v>
      </c>
    </row>
    <row r="48" spans="1:3" x14ac:dyDescent="0.25">
      <c r="A48" s="136" t="s">
        <v>94</v>
      </c>
      <c r="B48" s="141">
        <v>0</v>
      </c>
    </row>
    <row r="49" spans="1:2" x14ac:dyDescent="0.25">
      <c r="A49" s="136" t="s">
        <v>95</v>
      </c>
      <c r="B49" s="141">
        <v>0</v>
      </c>
    </row>
    <row r="50" spans="1:2" x14ac:dyDescent="0.25">
      <c r="A50" s="136" t="s">
        <v>103</v>
      </c>
      <c r="B50" s="141">
        <v>0</v>
      </c>
    </row>
    <row r="51" spans="1:2" ht="15.75" x14ac:dyDescent="0.25">
      <c r="A51" s="55" t="s">
        <v>98</v>
      </c>
      <c r="B51" s="27">
        <f>SUM(B43:B50)</f>
        <v>0</v>
      </c>
    </row>
    <row r="53" spans="1:2" x14ac:dyDescent="0.25">
      <c r="A53" s="53" t="s">
        <v>104</v>
      </c>
      <c r="B53" s="54">
        <f>SUM(B26+B51)</f>
        <v>6404.84</v>
      </c>
    </row>
  </sheetData>
  <mergeCells count="12">
    <mergeCell ref="B4:B5"/>
    <mergeCell ref="A30:A31"/>
    <mergeCell ref="B30:B31"/>
    <mergeCell ref="C30:C31"/>
    <mergeCell ref="A41:A42"/>
    <mergeCell ref="B41:B42"/>
    <mergeCell ref="C4:C5"/>
    <mergeCell ref="A16:A17"/>
    <mergeCell ref="A4:A5"/>
    <mergeCell ref="A13:C13"/>
    <mergeCell ref="A27:C27"/>
    <mergeCell ref="B16:B17"/>
  </mergeCells>
  <pageMargins left="0.7" right="0.7" top="0.75" bottom="0.75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/ U M X U w A e p 0 + l A A A A 9 Q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W Z r q m Z k A n W S j D x O z 8 c 3 M Q 8 g b A e V A s k i C N s 6 l O S W l R a l 2 m S W 6 n i E 2 + j C u j T 7 U C 3 Y A U E s D B B Q A A g A I A P 1 D F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9 Q x d T K I p H u A 4 A A A A R A A A A E w A c A E Z v c m 1 1 b G F z L 1 N l Y 3 R p b 2 4 x L m 0 g o h g A K K A U A A A A A A A A A A A A A A A A A A A A A A A A A A A A K 0 5 N L s n M z 1 M I h t C G 1 g B Q S w E C L Q A U A A I A C A D 9 Q x d T A B 6 n T 6 U A A A D 1 A A A A E g A A A A A A A A A A A A A A A A A A A A A A Q 2 9 u Z m l n L 1 B h Y 2 t h Z 2 U u e G 1 s U E s B A i 0 A F A A C A A g A / U M X U w / K 6 a u k A A A A 6 Q A A A B M A A A A A A A A A A A A A A A A A 8 Q A A A F t D b 2 5 0 Z W 5 0 X 1 R 5 c G V z X S 5 4 b W x Q S w E C L Q A U A A I A C A D 9 Q x d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c k r L k F Y 8 e k 6 e n 8 r m X N 0 b t A A A A A A C A A A A A A A Q Z g A A A A E A A C A A A A C 8 T X C e O P I B 4 J 0 r P 2 M 3 X s E M F O 2 c 8 f d Z d q S u p o 3 R 2 b j 9 P A A A A A A O g A A A A A I A A C A A A A A d k Y 9 s I B 5 S H i T / X T Q X G W S X k V 7 O 3 n y 4 l e o R w l y T x q X X c l A A A A D U S 9 q z 0 n K N T O U r c c V T 6 Q m s 8 i / / m c a x 7 I M q E G a q E B e 8 U r h 3 a Z 0 W f j t m e t z i 4 U + B t o W a / x K G j k 6 D p P 3 z V x v U u U 5 0 O e u L J b t F s 6 H b 1 M q I M X 7 k i E A A A A C c E N e X R k e v C f V D t 0 9 X m Y O l v Z / Z T S 2 B 2 g 4 T f t X V S d w k q S G v + u t 7 C a B i R O V K k z 8 P K 1 K 3 T D s 0 3 A w 7 + o 7 u 2 i C l C u z H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0BB7B6009E5443AD97271ECDDB5606" ma:contentTypeVersion="16" ma:contentTypeDescription="Create a new document." ma:contentTypeScope="" ma:versionID="c5cc13471b671162cd40675cd3ef1f6f">
  <xsd:schema xmlns:xsd="http://www.w3.org/2001/XMLSchema" xmlns:xs="http://www.w3.org/2001/XMLSchema" xmlns:p="http://schemas.microsoft.com/office/2006/metadata/properties" xmlns:ns2="32766ff9-0e22-4b2c-99d7-adf475998fe8" xmlns:ns3="f5d221dd-0aa7-4983-a9d4-13836b56b3f2" xmlns:ns4="3e02667f-0271-471b-bd6e-11a2e16def1d" targetNamespace="http://schemas.microsoft.com/office/2006/metadata/properties" ma:root="true" ma:fieldsID="c60b528b4d181def9b4529383fcdf5cb" ns2:_="" ns3:_="" ns4:_="">
    <xsd:import namespace="32766ff9-0e22-4b2c-99d7-adf475998fe8"/>
    <xsd:import namespace="f5d221dd-0aa7-4983-a9d4-13836b56b3f2"/>
    <xsd:import namespace="3e02667f-0271-471b-bd6e-11a2e16def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66ff9-0e22-4b2c-99d7-adf475998f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a6c10d7-b926-4fc0-945e-3cbf5049f6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221dd-0aa7-4983-a9d4-13836b56b3f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2667f-0271-471b-bd6e-11a2e16def1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bfda5ff-439d-4c85-ac26-0d058ef9e6d0}" ma:internalName="TaxCatchAll" ma:showField="CatchAllData" ma:web="f5d221dd-0aa7-4983-a9d4-13836b56b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AAE199-8AF8-4CDC-84AD-B25A1A64552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95A6915F-DC78-49AD-8424-3F5EBF089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66ff9-0e22-4b2c-99d7-adf475998fe8"/>
    <ds:schemaRef ds:uri="f5d221dd-0aa7-4983-a9d4-13836b56b3f2"/>
    <ds:schemaRef ds:uri="3e02667f-0271-471b-bd6e-11a2e16def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D59BB5-93DD-4A72-B9C6-2CC90EF4F4D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A7856AD-AD26-492B-9529-72B23F14E9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Sommario</vt:lpstr>
      <vt:lpstr>Tabella Analisi</vt:lpstr>
      <vt:lpstr>Tab 1</vt:lpstr>
      <vt:lpstr>Tab 2</vt:lpstr>
      <vt:lpstr>Tab 2.A - EEMM </vt:lpstr>
      <vt:lpstr>Tab 2.B-PIS</vt:lpstr>
      <vt:lpstr>Tab 3</vt:lpstr>
      <vt:lpstr>Tab 4</vt:lpstr>
      <vt:lpstr>Tab 5</vt:lpstr>
      <vt:lpstr>Tab 6_Riepilogo</vt:lpstr>
      <vt:lpstr>Note per la compilazione </vt:lpstr>
      <vt:lpstr>Lista tendine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</dc:creator>
  <cp:keywords/>
  <dc:description/>
  <cp:lastModifiedBy>Moreno Orlandelli</cp:lastModifiedBy>
  <cp:revision/>
  <cp:lastPrinted>2024-06-10T09:25:21Z</cp:lastPrinted>
  <dcterms:created xsi:type="dcterms:W3CDTF">2021-08-03T08:10:06Z</dcterms:created>
  <dcterms:modified xsi:type="dcterms:W3CDTF">2024-06-18T13:54:38Z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c207c75ec48f45bbbd763d1c219ec8d5</vt:lpwstr>
  </property>
  <property fmtid="{D5CDD505-2E9C-101B-9397-08002B2CF9AE}" pid="3" name="ContentTypeId">
    <vt:lpwstr>0x01010058BF3D285C0AFC4AAE078062DAAE9475</vt:lpwstr>
  </property>
  <property fmtid="{D5CDD505-2E9C-101B-9397-08002B2CF9AE}" pid="4" name="display_urn:schemas-microsoft-com:office:office#SharedWithUsers">
    <vt:lpwstr>Francesco Cenedese;Vikesh Ramesh Mahboobani Martinez;Cristina Perricone;Alessandra Marini;Ludovica Cherchi;Federica Ambrosio;Erik Stone Trautman</vt:lpwstr>
  </property>
  <property fmtid="{D5CDD505-2E9C-101B-9397-08002B2CF9AE}" pid="5" name="SharedWithUsers">
    <vt:lpwstr>14;#Francesco Cenedese;#38;#Vikesh Ramesh Mahboobani Martinez;#33;#Cristina Perricone;#13;#Alessandra Marini;#15;#Ludovica Cherchi;#19;#Federica Ambrosio;#36;#Erik Stone Trautman</vt:lpwstr>
  </property>
</Properties>
</file>